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d8b1d39a195a44/Documents/PTA/Finances/"/>
    </mc:Choice>
  </mc:AlternateContent>
  <xr:revisionPtr revIDLastSave="0" documentId="8_{9B600FFC-8004-4C54-B97A-15890C612A2A}" xr6:coauthVersionLast="47" xr6:coauthVersionMax="47" xr10:uidLastSave="{00000000-0000-0000-0000-000000000000}"/>
  <bookViews>
    <workbookView xWindow="-120" yWindow="-120" windowWidth="20730" windowHeight="11160" xr2:uid="{FB8A069D-26C8-42A6-A239-B9E7CBDFC472}"/>
  </bookViews>
  <sheets>
    <sheet name="00 Summary" sheetId="10" r:id="rId1"/>
    <sheet name="01 Income and Expenses" sheetId="1" r:id="rId2"/>
    <sheet name="02 Bank" sheetId="2" r:id="rId3"/>
    <sheet name="03 Petty Cash" sheetId="6" r:id="rId4"/>
    <sheet name="04 Uncleared Cheques" sheetId="7" r:id="rId5"/>
    <sheet name="05 Cash In Transit" sheetId="8" r:id="rId6"/>
  </sheets>
  <definedNames>
    <definedName name="_xlnm._FilterDatabase" localSheetId="1" hidden="1">'01 Income and Expenses'!$A$8:$M$76</definedName>
    <definedName name="_xlnm._FilterDatabase" localSheetId="2" hidden="1">'02 Bank'!$A$8:$J$55</definedName>
    <definedName name="_xlnm._FilterDatabase" localSheetId="3" hidden="1">'03 Petty Cash'!$A$8:$H$35</definedName>
    <definedName name="_xlnm.Print_Area" localSheetId="0">'00 Summary'!$A$1:$J$74</definedName>
    <definedName name="_xlnm.Print_Area" localSheetId="2">'02 Bank'!$A$1:$I$29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0" l="1"/>
  <c r="K72" i="1"/>
  <c r="L72" i="1"/>
  <c r="K69" i="1"/>
  <c r="L69" i="1"/>
  <c r="K70" i="1"/>
  <c r="L70" i="1"/>
  <c r="K71" i="1"/>
  <c r="L71" i="1"/>
  <c r="E23" i="10"/>
  <c r="B20" i="10" s="1"/>
  <c r="K67" i="1"/>
  <c r="H31" i="6"/>
  <c r="F31" i="6"/>
  <c r="F32" i="6" s="1"/>
  <c r="F33" i="6" s="1"/>
  <c r="F34" i="6" s="1"/>
  <c r="F35" i="6" s="1"/>
  <c r="D24" i="6"/>
  <c r="H16" i="7"/>
  <c r="H15" i="7"/>
  <c r="H14" i="7"/>
  <c r="H13" i="7"/>
  <c r="F49" i="1"/>
  <c r="E41" i="10" l="1"/>
  <c r="B38" i="10" s="1"/>
  <c r="E39" i="10"/>
  <c r="H12" i="7"/>
  <c r="H30" i="6"/>
  <c r="H29" i="6"/>
  <c r="H28" i="6"/>
  <c r="H27" i="6"/>
  <c r="H26" i="6"/>
  <c r="H24" i="6"/>
  <c r="L17" i="1"/>
  <c r="L18" i="1"/>
  <c r="K17" i="1"/>
  <c r="K18" i="1"/>
  <c r="L75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6" i="1"/>
  <c r="L15" i="1"/>
  <c r="L14" i="1"/>
  <c r="L13" i="1"/>
  <c r="L12" i="1"/>
  <c r="L11" i="1"/>
  <c r="L10" i="1"/>
  <c r="L9" i="1"/>
  <c r="H22" i="6" l="1"/>
  <c r="H23" i="6"/>
  <c r="H21" i="6"/>
  <c r="H20" i="6"/>
  <c r="F26" i="1" l="1"/>
  <c r="D15" i="6"/>
  <c r="F10" i="6" l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10" i="7"/>
  <c r="B12" i="10"/>
  <c r="F11" i="7" l="1"/>
  <c r="F12" i="7" s="1"/>
  <c r="F13" i="7" s="1"/>
  <c r="F14" i="7" s="1"/>
  <c r="F15" i="7" s="1"/>
  <c r="F16" i="7" s="1"/>
  <c r="B50" i="10" s="1"/>
  <c r="F24" i="6"/>
  <c r="F25" i="6" s="1"/>
  <c r="F26" i="6" s="1"/>
  <c r="F27" i="6" s="1"/>
  <c r="F28" i="6" s="1"/>
  <c r="F29" i="6" s="1"/>
  <c r="F30" i="6" s="1"/>
  <c r="H10" i="7"/>
  <c r="H11" i="7"/>
  <c r="J10" i="8"/>
  <c r="J11" i="8"/>
  <c r="E51" i="10" l="1"/>
  <c r="G76" i="1"/>
  <c r="F76" i="1"/>
  <c r="H19" i="6"/>
  <c r="H35" i="6"/>
  <c r="K68" i="1"/>
  <c r="K75" i="1"/>
  <c r="I53" i="2"/>
  <c r="I32" i="2"/>
  <c r="I33" i="2"/>
  <c r="I34" i="2"/>
  <c r="I35" i="2"/>
  <c r="I36" i="2"/>
  <c r="I37" i="2"/>
  <c r="I38" i="2"/>
  <c r="I39" i="2"/>
  <c r="I40" i="2"/>
  <c r="I41" i="2"/>
  <c r="I42" i="2"/>
  <c r="I43" i="2"/>
  <c r="K66" i="1"/>
  <c r="E22" i="10" l="1"/>
  <c r="K65" i="1" l="1"/>
  <c r="K64" i="1"/>
  <c r="K63" i="1"/>
  <c r="E25" i="10" l="1"/>
  <c r="E26" i="10"/>
  <c r="K59" i="1"/>
  <c r="K60" i="1"/>
  <c r="K61" i="1"/>
  <c r="K62" i="1"/>
  <c r="H15" i="6"/>
  <c r="H16" i="6"/>
  <c r="H17" i="6"/>
  <c r="H18" i="6"/>
  <c r="E52" i="10" l="1"/>
  <c r="B14" i="10"/>
  <c r="E45" i="10"/>
  <c r="B42" i="10" s="1"/>
  <c r="E46" i="10"/>
  <c r="B43" i="10" s="1"/>
  <c r="E44" i="10"/>
  <c r="B41" i="10" s="1"/>
  <c r="E43" i="10"/>
  <c r="B40" i="10" s="1"/>
  <c r="E42" i="10"/>
  <c r="B39" i="10" s="1"/>
  <c r="E40" i="10"/>
  <c r="E38" i="10"/>
  <c r="B37" i="10" s="1"/>
  <c r="E37" i="10"/>
  <c r="E36" i="10"/>
  <c r="E35" i="10"/>
  <c r="E34" i="10"/>
  <c r="E33" i="10"/>
  <c r="E28" i="10"/>
  <c r="E27" i="10"/>
  <c r="E24" i="10"/>
  <c r="E21" i="10"/>
  <c r="E20" i="10"/>
  <c r="E18" i="10"/>
  <c r="E17" i="10"/>
  <c r="E15" i="10"/>
  <c r="E14" i="10"/>
  <c r="E13" i="10"/>
  <c r="H13" i="6"/>
  <c r="K58" i="1"/>
  <c r="K54" i="1"/>
  <c r="K55" i="1"/>
  <c r="K56" i="1"/>
  <c r="K57" i="1"/>
  <c r="K53" i="1"/>
  <c r="K52" i="1"/>
  <c r="K51" i="1"/>
  <c r="K50" i="1"/>
  <c r="I25" i="2"/>
  <c r="I26" i="2"/>
  <c r="I27" i="2"/>
  <c r="I28" i="2"/>
  <c r="I29" i="2"/>
  <c r="I30" i="2"/>
  <c r="I31" i="2"/>
  <c r="B36" i="10" l="1"/>
  <c r="B16" i="10"/>
  <c r="B29" i="10" s="1"/>
  <c r="E47" i="10"/>
  <c r="B15" i="10" s="1"/>
  <c r="B27" i="10" l="1"/>
  <c r="E53" i="10"/>
  <c r="B28" i="10" l="1"/>
  <c r="B44" i="10"/>
  <c r="H12" i="6" l="1"/>
  <c r="K49" i="1"/>
  <c r="K43" i="1"/>
  <c r="K44" i="1"/>
  <c r="K45" i="1"/>
  <c r="K47" i="1"/>
  <c r="K48" i="1"/>
  <c r="F9" i="8" l="1"/>
  <c r="F10" i="8" s="1"/>
  <c r="B51" i="10" s="1"/>
  <c r="K42" i="1"/>
  <c r="K41" i="1"/>
  <c r="K40" i="1"/>
  <c r="K39" i="1"/>
  <c r="K33" i="1"/>
  <c r="K29" i="1"/>
  <c r="K28" i="1"/>
  <c r="K27" i="1"/>
  <c r="K26" i="1"/>
  <c r="K25" i="1"/>
  <c r="K24" i="1"/>
  <c r="K22" i="1"/>
  <c r="K21" i="1"/>
  <c r="K20" i="1"/>
  <c r="K19" i="1"/>
  <c r="K16" i="1"/>
  <c r="K15" i="1"/>
  <c r="K14" i="1"/>
  <c r="K13" i="1"/>
  <c r="K12" i="1"/>
  <c r="K10" i="1"/>
  <c r="K9" i="1"/>
  <c r="H9" i="1"/>
  <c r="H10" i="1" s="1"/>
  <c r="H11" i="1" s="1"/>
  <c r="H12" i="1" s="1"/>
  <c r="H13" i="1" s="1"/>
  <c r="H14" i="1" s="1"/>
  <c r="H15" i="1" s="1"/>
  <c r="H16" i="1" s="1"/>
  <c r="H9" i="7"/>
  <c r="J9" i="8"/>
  <c r="H14" i="6"/>
  <c r="H11" i="6"/>
  <c r="K38" i="1"/>
  <c r="I23" i="2"/>
  <c r="I22" i="2"/>
  <c r="I21" i="2"/>
  <c r="I20" i="2"/>
  <c r="I19" i="2"/>
  <c r="I18" i="2"/>
  <c r="I17" i="2"/>
  <c r="I16" i="2"/>
  <c r="I15" i="2"/>
  <c r="I11" i="2"/>
  <c r="I12" i="2"/>
  <c r="I13" i="2"/>
  <c r="I10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l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K23" i="1"/>
  <c r="E19" i="10"/>
  <c r="K46" i="1"/>
  <c r="K30" i="1"/>
  <c r="K34" i="1"/>
  <c r="I24" i="2"/>
  <c r="K31" i="1"/>
  <c r="K35" i="1"/>
  <c r="I14" i="2"/>
  <c r="E16" i="10"/>
  <c r="K11" i="1"/>
  <c r="K37" i="1"/>
  <c r="K32" i="1"/>
  <c r="K36" i="1"/>
  <c r="H10" i="6"/>
  <c r="B48" i="10" l="1"/>
  <c r="B52" i="10" s="1"/>
  <c r="E29" i="10"/>
  <c r="B13" i="10" l="1"/>
  <c r="B26" i="10" s="1"/>
  <c r="E55" i="10"/>
  <c r="B30" i="10" l="1"/>
  <c r="B17" i="10"/>
  <c r="B53" i="10" s="1"/>
  <c r="B2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tc={74DCF932-91F1-4C46-9FA3-1F3C4F1659C3}</author>
  </authors>
  <commentList>
    <comment ref="F18" authorId="0" shapeId="0" xr:uid="{74DCF932-91F1-4C46-9FA3-1F3C4F1659C3}">
      <text>
        <t>[Threaded comment]
Your version of Excel allows you to read this threaded comment; however, any edits to it will get removed if the file is opened in a newer version of Excel. Learn more: https://go.microsoft.com/fwlink/?linkid=870924
Comment:
    Reconciled = £165.13</t>
      </text>
    </comment>
  </commentList>
</comments>
</file>

<file path=xl/sharedStrings.xml><?xml version="1.0" encoding="utf-8"?>
<sst xmlns="http://schemas.openxmlformats.org/spreadsheetml/2006/main" count="673" uniqueCount="233">
  <si>
    <t>Description</t>
  </si>
  <si>
    <t>Date</t>
  </si>
  <si>
    <t>Form Reference</t>
  </si>
  <si>
    <t>Income</t>
  </si>
  <si>
    <t>Expense</t>
  </si>
  <si>
    <t>Petty Cash</t>
  </si>
  <si>
    <t>Bank</t>
  </si>
  <si>
    <t>Cash in Transit</t>
  </si>
  <si>
    <t>Event / Project</t>
  </si>
  <si>
    <t>£</t>
  </si>
  <si>
    <t>Lodging</t>
  </si>
  <si>
    <t>Opening Balance</t>
  </si>
  <si>
    <t>Type</t>
  </si>
  <si>
    <t>Closing Balance</t>
  </si>
  <si>
    <t>Cash</t>
  </si>
  <si>
    <t>Reference</t>
  </si>
  <si>
    <t>Method</t>
  </si>
  <si>
    <t>Cheque</t>
  </si>
  <si>
    <t>Cash Reference</t>
  </si>
  <si>
    <t>Check</t>
  </si>
  <si>
    <t>Christmas Cards</t>
  </si>
  <si>
    <t>Christmas Hamper</t>
  </si>
  <si>
    <t>Parent Kind</t>
  </si>
  <si>
    <t>Reason</t>
  </si>
  <si>
    <t>Status</t>
  </si>
  <si>
    <t>Grand Total</t>
  </si>
  <si>
    <t>Friends of Netherton PTA</t>
  </si>
  <si>
    <t>Bank Reconciliation</t>
  </si>
  <si>
    <t>Out</t>
  </si>
  <si>
    <t>In</t>
  </si>
  <si>
    <t>Petty Cash Reconciliation</t>
  </si>
  <si>
    <t>Cheque Reference</t>
  </si>
  <si>
    <t>Running Total</t>
  </si>
  <si>
    <t>Uncleared Cheques</t>
  </si>
  <si>
    <t>Total</t>
  </si>
  <si>
    <t>Car Park</t>
  </si>
  <si>
    <t>School Expenditure</t>
  </si>
  <si>
    <t>Other</t>
  </si>
  <si>
    <t>Other Expenses</t>
  </si>
  <si>
    <t>Actual</t>
  </si>
  <si>
    <t>Circus</t>
  </si>
  <si>
    <t>Y4 Anglo Saxon</t>
  </si>
  <si>
    <t>Y5 Greek</t>
  </si>
  <si>
    <t>Fundraising</t>
  </si>
  <si>
    <t>Y6 Leaving</t>
  </si>
  <si>
    <t>Y3 Stone Age Day</t>
  </si>
  <si>
    <t>Early Years</t>
  </si>
  <si>
    <t>Year 1</t>
  </si>
  <si>
    <t>Y2 Great Fire of London</t>
  </si>
  <si>
    <t>Whole School</t>
  </si>
  <si>
    <t>Funding Split by Year Groups</t>
  </si>
  <si>
    <t>Year 2</t>
  </si>
  <si>
    <t>Year 3</t>
  </si>
  <si>
    <t>Year 4</t>
  </si>
  <si>
    <t>Year 5</t>
  </si>
  <si>
    <t>Year 6</t>
  </si>
  <si>
    <t>Easter Hamper</t>
  </si>
  <si>
    <t>Year Group</t>
  </si>
  <si>
    <t>Cash Split</t>
  </si>
  <si>
    <t>Bank Balance</t>
  </si>
  <si>
    <t>Totals</t>
  </si>
  <si>
    <t>Summary</t>
  </si>
  <si>
    <t>Signature</t>
  </si>
  <si>
    <t>Chair</t>
  </si>
  <si>
    <t>Audit</t>
  </si>
  <si>
    <t>Treasurer</t>
  </si>
  <si>
    <t>Balance</t>
  </si>
  <si>
    <t>B00036</t>
  </si>
  <si>
    <t>P00012</t>
  </si>
  <si>
    <t>Income and Expenses 2020/21</t>
  </si>
  <si>
    <t>Bags to School</t>
  </si>
  <si>
    <t>Income from Bags to School</t>
  </si>
  <si>
    <t>Car Parking</t>
  </si>
  <si>
    <t>000574</t>
  </si>
  <si>
    <t>Car Park for period Sep-20 to Dec-20</t>
  </si>
  <si>
    <t>000575</t>
  </si>
  <si>
    <t>Payment to school for Stone Age Day</t>
  </si>
  <si>
    <t>Halloween Hamper</t>
  </si>
  <si>
    <t>Halloween Hamper Expenses - Liz Hawes</t>
  </si>
  <si>
    <t>Halloween Party Expenses - Lisa Wood</t>
  </si>
  <si>
    <t>P00013</t>
  </si>
  <si>
    <t>Halloween Party</t>
  </si>
  <si>
    <t>Income from Halloween Hamper</t>
  </si>
  <si>
    <t>Income from Halloween Party</t>
  </si>
  <si>
    <t>Income from 5p Challenge</t>
  </si>
  <si>
    <t>5p Challenge</t>
  </si>
  <si>
    <t>CT0001</t>
  </si>
  <si>
    <t>2020/21 Financial Year</t>
  </si>
  <si>
    <t>B00037</t>
  </si>
  <si>
    <t>B00038</t>
  </si>
  <si>
    <t>B00039</t>
  </si>
  <si>
    <t>B00040</t>
  </si>
  <si>
    <t>Paypal Test</t>
  </si>
  <si>
    <t>B00041</t>
  </si>
  <si>
    <t>B00042</t>
  </si>
  <si>
    <t>B00043</t>
  </si>
  <si>
    <t>B00044</t>
  </si>
  <si>
    <t>P00014</t>
  </si>
  <si>
    <t>Christmas Hamper - Sarah Earnshaw</t>
  </si>
  <si>
    <t>P00015</t>
  </si>
  <si>
    <t>Circus Refunds</t>
  </si>
  <si>
    <t>P00016</t>
  </si>
  <si>
    <t>P00017</t>
  </si>
  <si>
    <t>P00018</t>
  </si>
  <si>
    <t>P00019</t>
  </si>
  <si>
    <t>Christmas Tree Decoration Competition</t>
  </si>
  <si>
    <t>Christmas Tree Decs</t>
  </si>
  <si>
    <t>Christmas Tree Dec Prizes - Lisa Wood</t>
  </si>
  <si>
    <t>P00020</t>
  </si>
  <si>
    <t>000577</t>
  </si>
  <si>
    <t>Digiprint - Christmas Cards</t>
  </si>
  <si>
    <t>Selection Boxes</t>
  </si>
  <si>
    <t>Christmas Party</t>
  </si>
  <si>
    <t>Selection Boxes - Christmas Party</t>
  </si>
  <si>
    <t>000576</t>
  </si>
  <si>
    <t>UC0003</t>
  </si>
  <si>
    <t>P00021</t>
  </si>
  <si>
    <t>P00022</t>
  </si>
  <si>
    <t>Christmas Hamper Cash</t>
  </si>
  <si>
    <t>P00023</t>
  </si>
  <si>
    <t>Christmas Fun Day</t>
  </si>
  <si>
    <t>P00024</t>
  </si>
  <si>
    <t>P00025</t>
  </si>
  <si>
    <t>000578</t>
  </si>
  <si>
    <t>Trophies</t>
  </si>
  <si>
    <t>Early Years Storage Boxes</t>
  </si>
  <si>
    <t>EY Storage</t>
  </si>
  <si>
    <t>B00045</t>
  </si>
  <si>
    <t>B00046</t>
  </si>
  <si>
    <t>B00047</t>
  </si>
  <si>
    <t>B00048</t>
  </si>
  <si>
    <t>B00049</t>
  </si>
  <si>
    <t>B00050</t>
  </si>
  <si>
    <t>B00051</t>
  </si>
  <si>
    <t>Parent Kind Membership</t>
  </si>
  <si>
    <t>000579</t>
  </si>
  <si>
    <t>B00052</t>
  </si>
  <si>
    <t>Howdens - Donation for Sports Kit</t>
  </si>
  <si>
    <t>K Charles &amp; Son - Donation for Sports Kit</t>
  </si>
  <si>
    <t>A Woodhouse - Donation for Sports Kit</t>
  </si>
  <si>
    <t>P00026</t>
  </si>
  <si>
    <t>Sports Kit</t>
  </si>
  <si>
    <t>P00027</t>
  </si>
  <si>
    <t>Cash Banked</t>
  </si>
  <si>
    <t>Banked</t>
  </si>
  <si>
    <t>0581</t>
  </si>
  <si>
    <t>Easter Eggs for children - Lisa Wood</t>
  </si>
  <si>
    <t>0582</t>
  </si>
  <si>
    <t>Netherton Sports and Social Club - Car Parking</t>
  </si>
  <si>
    <t>0583</t>
  </si>
  <si>
    <t>Music Equipment - Chime Bar Sets</t>
  </si>
  <si>
    <t>0584</t>
  </si>
  <si>
    <t>Year 4 Anglo-Saxon Day</t>
  </si>
  <si>
    <t>Easter Eggs</t>
  </si>
  <si>
    <t>Music Equipment</t>
  </si>
  <si>
    <t>Petty Cash transfer</t>
  </si>
  <si>
    <t>Ticket sales - Easter Hamper</t>
  </si>
  <si>
    <t>P00028</t>
  </si>
  <si>
    <t>Easter Hamper Contents</t>
  </si>
  <si>
    <t>P00029</t>
  </si>
  <si>
    <t>Flower Mrs Benson Retirement - Lisa Wood</t>
  </si>
  <si>
    <t>P00030</t>
  </si>
  <si>
    <t>B00053</t>
  </si>
  <si>
    <t>B00054</t>
  </si>
  <si>
    <t>B00055</t>
  </si>
  <si>
    <t>B00056</t>
  </si>
  <si>
    <t>B00057</t>
  </si>
  <si>
    <t>B00058</t>
  </si>
  <si>
    <t>B00059</t>
  </si>
  <si>
    <t>Amazon Income</t>
  </si>
  <si>
    <t>Amazon</t>
  </si>
  <si>
    <t>BACs</t>
  </si>
  <si>
    <t>B00060</t>
  </si>
  <si>
    <t>Y1 Planetarium</t>
  </si>
  <si>
    <t>Donations</t>
  </si>
  <si>
    <t>Break the Rules Day</t>
  </si>
  <si>
    <t>P00031</t>
  </si>
  <si>
    <t>B00061</t>
  </si>
  <si>
    <t>B00062</t>
  </si>
  <si>
    <t>UC0001</t>
  </si>
  <si>
    <t>UC0002</t>
  </si>
  <si>
    <t>B00063</t>
  </si>
  <si>
    <t>B00064</t>
  </si>
  <si>
    <t>B00065</t>
  </si>
  <si>
    <t>Father's Day Project</t>
  </si>
  <si>
    <t>000585</t>
  </si>
  <si>
    <t>Kit Bags</t>
  </si>
  <si>
    <t>Year Six Leaving Hoodies</t>
  </si>
  <si>
    <t>Father's Day</t>
  </si>
  <si>
    <t>000586</t>
  </si>
  <si>
    <t>EY Music Player</t>
  </si>
  <si>
    <t>000587</t>
  </si>
  <si>
    <t>UC0004</t>
  </si>
  <si>
    <t>000588</t>
  </si>
  <si>
    <t>Yr5 Greek Day</t>
  </si>
  <si>
    <t>UC0005</t>
  </si>
  <si>
    <t>000589</t>
  </si>
  <si>
    <t>UC0006</t>
  </si>
  <si>
    <t>Yr2 Great Fire of London</t>
  </si>
  <si>
    <t>Fathers Day Project</t>
  </si>
  <si>
    <t>B00066</t>
  </si>
  <si>
    <t>B00067</t>
  </si>
  <si>
    <t>B00068</t>
  </si>
  <si>
    <t>B00069</t>
  </si>
  <si>
    <t>B00071</t>
  </si>
  <si>
    <t>B00070</t>
  </si>
  <si>
    <t>B00072</t>
  </si>
  <si>
    <t>Headteacher Day</t>
  </si>
  <si>
    <t>B00073</t>
  </si>
  <si>
    <t>5p Challenge Prize</t>
  </si>
  <si>
    <t>P00032</t>
  </si>
  <si>
    <t>5p Challenge Prize (Andrea Rosamond)</t>
  </si>
  <si>
    <t>Pizza - Year 6 Leavers Party (Sarah Goodrum)</t>
  </si>
  <si>
    <t>Refund for Car Boot licence</t>
  </si>
  <si>
    <t>B00074</t>
  </si>
  <si>
    <t>B00075</t>
  </si>
  <si>
    <t>Arnold Clarke Grant</t>
  </si>
  <si>
    <t>Bank surplus Petty Cash</t>
  </si>
  <si>
    <t>Leaving Presents</t>
  </si>
  <si>
    <t>P00033</t>
  </si>
  <si>
    <t>P00034</t>
  </si>
  <si>
    <t>Car Boot</t>
  </si>
  <si>
    <t>B00076</t>
  </si>
  <si>
    <t>Balance Petty Cash - small difference</t>
  </si>
  <si>
    <t>P00035</t>
  </si>
  <si>
    <t>Arnold Clarke Grant (Phonics)</t>
  </si>
  <si>
    <t>Committed Expenditure (Sound Equip)</t>
  </si>
  <si>
    <t>Actuals to 31st August 2021</t>
  </si>
  <si>
    <t>Closing Balance as at 31/08/21</t>
  </si>
  <si>
    <t>Totals for 2020/21</t>
  </si>
  <si>
    <t>Available Balance</t>
  </si>
  <si>
    <t>Opening Balance 01/09/20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</si>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</sst>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[Red]\(#,##0\);\-"/>
    <numFmt numFmtId="165" formatCode="#,##0.00;[Red]\(#,##0.00\);\-"/>
    <numFmt numFmtId="166" formatCode="#,##0.00;[Red]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/>
    <xf numFmtId="1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2" fontId="0" fillId="0" borderId="0" xfId="0" applyNumberFormat="1"/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5" fontId="1" fillId="2" borderId="4" xfId="0" applyNumberFormat="1" applyFont="1" applyFill="1" applyBorder="1" applyAlignment="1">
      <alignment horizontal="center" vertical="center" wrapText="1"/>
    </xf>
    <xf numFmtId="15" fontId="1" fillId="2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 indent="1"/>
    </xf>
    <xf numFmtId="0" fontId="2" fillId="4" borderId="8" xfId="0" applyFont="1" applyFill="1" applyBorder="1" applyAlignment="1">
      <alignment horizontal="left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5" fontId="5" fillId="4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indent="1"/>
    </xf>
    <xf numFmtId="164" fontId="2" fillId="3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indent="1"/>
    </xf>
    <xf numFmtId="164" fontId="2" fillId="3" borderId="7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indent="1"/>
    </xf>
    <xf numFmtId="164" fontId="2" fillId="3" borderId="1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NumberFormat="1" applyAlignment="1">
      <alignment horizontal="center"/>
    </xf>
    <xf numFmtId="166" fontId="0" fillId="0" borderId="0" xfId="0" applyNumberFormat="1"/>
    <xf numFmtId="165" fontId="0" fillId="0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left" indent="1"/>
    </xf>
    <xf numFmtId="164" fontId="2" fillId="0" borderId="0" xfId="0" applyNumberFormat="1" applyFont="1" applyFill="1" applyBorder="1" applyAlignment="1">
      <alignment horizontal="center"/>
    </xf>
    <xf numFmtId="0" fontId="0" fillId="0" borderId="13" xfId="0" applyFill="1" applyBorder="1" applyAlignment="1">
      <alignment horizontal="left" indent="1"/>
    </xf>
    <xf numFmtId="164" fontId="0" fillId="0" borderId="13" xfId="0" applyNumberFormat="1" applyFill="1" applyBorder="1" applyAlignment="1">
      <alignment horizontal="center"/>
    </xf>
    <xf numFmtId="0" fontId="6" fillId="0" borderId="1" xfId="0" applyFont="1" applyFill="1" applyBorder="1"/>
    <xf numFmtId="0" fontId="0" fillId="5" borderId="3" xfId="0" applyFill="1" applyBorder="1" applyAlignment="1">
      <alignment horizontal="left" indent="1"/>
    </xf>
    <xf numFmtId="164" fontId="0" fillId="5" borderId="6" xfId="0" applyNumberFormat="1" applyFill="1" applyBorder="1" applyAlignment="1">
      <alignment horizontal="center"/>
    </xf>
    <xf numFmtId="0" fontId="0" fillId="5" borderId="8" xfId="0" applyFill="1" applyBorder="1" applyAlignment="1">
      <alignment horizontal="left" indent="1"/>
    </xf>
    <xf numFmtId="164" fontId="0" fillId="5" borderId="9" xfId="0" applyNumberFormat="1" applyFill="1" applyBorder="1" applyAlignment="1">
      <alignment horizontal="center"/>
    </xf>
    <xf numFmtId="0" fontId="0" fillId="5" borderId="5" xfId="0" applyFill="1" applyBorder="1" applyAlignment="1">
      <alignment horizontal="left" indent="1"/>
    </xf>
    <xf numFmtId="164" fontId="0" fillId="5" borderId="2" xfId="0" applyNumberFormat="1" applyFill="1" applyBorder="1" applyAlignment="1">
      <alignment horizontal="center"/>
    </xf>
    <xf numFmtId="0" fontId="0" fillId="5" borderId="12" xfId="0" applyFill="1" applyBorder="1" applyAlignment="1">
      <alignment horizontal="left" indent="1"/>
    </xf>
    <xf numFmtId="164" fontId="0" fillId="5" borderId="12" xfId="0" applyNumberFormat="1" applyFill="1" applyBorder="1" applyAlignment="1">
      <alignment horizontal="center"/>
    </xf>
    <xf numFmtId="0" fontId="0" fillId="5" borderId="10" xfId="0" applyFill="1" applyBorder="1" applyAlignment="1">
      <alignment horizontal="left" indent="1"/>
    </xf>
    <xf numFmtId="164" fontId="0" fillId="5" borderId="10" xfId="0" applyNumberFormat="1" applyFill="1" applyBorder="1" applyAlignment="1">
      <alignment horizontal="center"/>
    </xf>
    <xf numFmtId="0" fontId="0" fillId="5" borderId="10" xfId="0" applyFont="1" applyFill="1" applyBorder="1" applyAlignment="1">
      <alignment horizontal="left" indent="1"/>
    </xf>
    <xf numFmtId="164" fontId="0" fillId="5" borderId="6" xfId="0" applyNumberFormat="1" applyFont="1" applyFill="1" applyBorder="1" applyAlignment="1">
      <alignment horizontal="center"/>
    </xf>
    <xf numFmtId="0" fontId="0" fillId="5" borderId="10" xfId="0" quotePrefix="1" applyFont="1" applyFill="1" applyBorder="1" applyAlignment="1">
      <alignment horizontal="left" indent="1"/>
    </xf>
    <xf numFmtId="0" fontId="0" fillId="5" borderId="8" xfId="0" applyFill="1" applyBorder="1"/>
    <xf numFmtId="0" fontId="0" fillId="5" borderId="3" xfId="0" applyFill="1" applyBorder="1"/>
    <xf numFmtId="164" fontId="0" fillId="5" borderId="11" xfId="0" applyNumberFormat="1" applyFill="1" applyBorder="1" applyAlignment="1">
      <alignment horizontal="center"/>
    </xf>
    <xf numFmtId="0" fontId="0" fillId="5" borderId="12" xfId="0" applyFill="1" applyBorder="1"/>
    <xf numFmtId="0" fontId="0" fillId="5" borderId="10" xfId="0" applyFill="1" applyBorder="1"/>
    <xf numFmtId="0" fontId="0" fillId="5" borderId="11" xfId="0" applyFill="1" applyBorder="1"/>
    <xf numFmtId="164" fontId="0" fillId="5" borderId="10" xfId="0" applyNumberFormat="1" applyFont="1" applyFill="1" applyBorder="1" applyAlignment="1">
      <alignment horizontal="center"/>
    </xf>
    <xf numFmtId="0" fontId="0" fillId="5" borderId="3" xfId="0" applyFont="1" applyFill="1" applyBorder="1" applyAlignment="1">
      <alignment horizontal="left" indent="1"/>
    </xf>
    <xf numFmtId="164" fontId="0" fillId="5" borderId="12" xfId="0" applyNumberFormat="1" applyFont="1" applyFill="1" applyBorder="1" applyAlignment="1">
      <alignment horizontal="center"/>
    </xf>
    <xf numFmtId="0" fontId="0" fillId="5" borderId="5" xfId="0" quotePrefix="1" applyFont="1" applyFill="1" applyBorder="1" applyAlignment="1">
      <alignment horizontal="left" indent="1"/>
    </xf>
    <xf numFmtId="164" fontId="0" fillId="5" borderId="11" xfId="0" applyNumberFormat="1" applyFont="1" applyFill="1" applyBorder="1" applyAlignment="1">
      <alignment horizontal="center"/>
    </xf>
    <xf numFmtId="15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14" xfId="0" quotePrefix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 wrapText="1" indent="1"/>
    </xf>
    <xf numFmtId="164" fontId="0" fillId="0" borderId="0" xfId="0" applyNumberFormat="1" applyBorder="1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quotePrefix="1"/>
    <xf numFmtId="2" fontId="0" fillId="0" borderId="0" xfId="0" applyNumberForma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5" fontId="6" fillId="0" borderId="7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57151</xdr:colOff>
      <xdr:row>0</xdr:row>
      <xdr:rowOff>38099</xdr:rowOff>
    </xdr:from>
    <xdr:to>
      <xdr:col>0</xdr:col>
      <xdr:colOff>1009650</xdr:colOff>
      <xdr:row>4</xdr:row>
      <xdr:rowOff>56849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7F48DBB8-1B9A-4231-AF95-9BA2AB1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8099"/>
          <a:ext cx="952499" cy="7940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171449</xdr:colOff>
      <xdr:row>4</xdr:row>
      <xdr:rowOff>34290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1948BA21-DCDC-41BF-8090-6AE6DC4B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499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57151</xdr:colOff>
      <xdr:row>0</xdr:row>
      <xdr:rowOff>38099</xdr:rowOff>
    </xdr:from>
    <xdr:to>
      <xdr:col>1</xdr:col>
      <xdr:colOff>228600</xdr:colOff>
      <xdr:row>4</xdr:row>
      <xdr:rowOff>57149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E220C56C-BAB1-4B5F-A252-ACD6F407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8099"/>
          <a:ext cx="952499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57151</xdr:colOff>
      <xdr:row>0</xdr:row>
      <xdr:rowOff>38099</xdr:rowOff>
    </xdr:from>
    <xdr:to>
      <xdr:col>1</xdr:col>
      <xdr:colOff>228600</xdr:colOff>
      <xdr:row>4</xdr:row>
      <xdr:rowOff>57149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49FA495F-0FF8-4F9A-BC7D-1A581D6C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8099"/>
          <a:ext cx="952499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57151</xdr:colOff>
      <xdr:row>0</xdr:row>
      <xdr:rowOff>38099</xdr:rowOff>
    </xdr:from>
    <xdr:to>
      <xdr:col>1</xdr:col>
      <xdr:colOff>228600</xdr:colOff>
      <xdr:row>4</xdr:row>
      <xdr:rowOff>57149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196B5631-44B1-4D9C-A305-DB3C7804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8099"/>
          <a:ext cx="952499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41911</xdr:colOff>
      <xdr:row>0</xdr:row>
      <xdr:rowOff>38099</xdr:rowOff>
    </xdr:from>
    <xdr:to>
      <xdr:col>1</xdr:col>
      <xdr:colOff>228600</xdr:colOff>
      <xdr:row>4</xdr:row>
      <xdr:rowOff>72389</xdr:rowOff>
    </xdr:to>
    <xdr:pic>
      <xdr:nvPicPr>
        <xdr:cNvPr id="2" name="Picture 1" descr="images[6]">
          <a:extLst>
            <a:ext uri="{FF2B5EF4-FFF2-40B4-BE49-F238E27FC236}">
              <a16:creationId xmlns:a16="http://schemas.microsoft.com/office/drawing/2014/main" id="{4128E4C2-9C15-424B-B2CB-8D702590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8099"/>
          <a:ext cx="952499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Wood" id="{5909FA21-13D2-43EC-B20F-606EE7F76CE4}" userId="S::tom.wood@actavo.com::c8bc4058-1e22-4f95-956e-565dedb4621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8" dT="2020-12-06T13:57:43.10" personId="{5909FA21-13D2-43EC-B20F-606EE7F76CE4}" id="{74DCF932-91F1-4C46-9FA3-1F3C4F1659C3}">
    <text>Reconciled = £165.13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A24D-79BF-4F21-9EF4-637C8C60C070}">
  <sheetPr>
    <pageSetUpPr fitToPage="1"/>
  </sheetPr>
  <dimension ref="A1:N75"/>
  <sheetViews>
    <sheetView tabSelected="1" workbookViewId="0">
      <selection activeCell="C1" sqref="C1"/>
    </sheetView>
  </sheetViews>
  <sheetFormatPr defaultColWidth="0" defaultRowHeight="15" zeroHeight="1" x14ac:dyDescent="0.25"/>
  <cols>
    <col min="1" max="1" width="34" customWidth="1"/>
    <col min="2" max="2" width="14.7109375" style="2" customWidth="1"/>
    <col min="3" max="3" width="22.140625" customWidth="1"/>
    <col min="4" max="4" width="23.85546875" style="1" bestFit="1" customWidth="1"/>
    <col min="5" max="5" width="12.5703125" customWidth="1"/>
    <col min="6" max="6" width="4.140625" customWidth="1"/>
    <col min="7" max="9" width="18.7109375" hidden="1" customWidth="1"/>
    <col min="10" max="10" width="9.140625" hidden="1" customWidth="1"/>
    <col min="11" max="14" width="0" hidden="1" customWidth="1"/>
    <col min="15" max="16384" width="9.140625" hidden="1"/>
  </cols>
  <sheetData>
    <row r="1" spans="1:5" x14ac:dyDescent="0.25">
      <c r="E1" s="84"/>
    </row>
    <row r="2" spans="1:5" x14ac:dyDescent="0.25">
      <c r="E2" s="84"/>
    </row>
    <row r="3" spans="1:5" x14ac:dyDescent="0.25">
      <c r="E3" s="84"/>
    </row>
    <row r="4" spans="1:5" x14ac:dyDescent="0.25">
      <c r="E4" s="84"/>
    </row>
    <row r="5" spans="1:5" ht="6.75" customHeight="1" x14ac:dyDescent="0.25">
      <c r="E5" s="84"/>
    </row>
    <row r="6" spans="1:5" x14ac:dyDescent="0.25">
      <c r="A6" s="5" t="s">
        <v>26</v>
      </c>
    </row>
    <row r="7" spans="1:5" x14ac:dyDescent="0.25">
      <c r="A7" s="5" t="s">
        <v>87</v>
      </c>
    </row>
    <row r="8" spans="1:5" x14ac:dyDescent="0.25">
      <c r="A8" s="5" t="s">
        <v>227</v>
      </c>
      <c r="B8"/>
      <c r="D8"/>
    </row>
    <row r="9" spans="1:5" x14ac:dyDescent="0.25">
      <c r="A9" s="5" t="s">
        <v>9</v>
      </c>
      <c r="B9"/>
      <c r="D9"/>
    </row>
    <row r="10" spans="1:5" x14ac:dyDescent="0.25"/>
    <row r="11" spans="1:5" x14ac:dyDescent="0.25">
      <c r="A11" s="5" t="s">
        <v>61</v>
      </c>
      <c r="D11" s="20" t="s">
        <v>43</v>
      </c>
    </row>
    <row r="12" spans="1:5" x14ac:dyDescent="0.25">
      <c r="A12" s="25" t="s">
        <v>231</v>
      </c>
      <c r="B12" s="23">
        <f>'02 Bank'!G9+'03 Petty Cash'!F9</f>
        <v>5444.1900000000005</v>
      </c>
      <c r="D12" s="16" t="s">
        <v>8</v>
      </c>
      <c r="E12" s="22" t="s">
        <v>39</v>
      </c>
    </row>
    <row r="13" spans="1:5" x14ac:dyDescent="0.25">
      <c r="A13" s="46" t="s">
        <v>43</v>
      </c>
      <c r="B13" s="47">
        <f>E29</f>
        <v>4847.8500000000004</v>
      </c>
      <c r="D13" s="56" t="s">
        <v>85</v>
      </c>
      <c r="E13" s="57">
        <f>SUMIF('01 Income and Expenses'!C:C,'00 Summary'!D13,'01 Income and Expenses'!G:G)-SUMIF('01 Income and Expenses'!C:C,'00 Summary'!D13,'01 Income and Expenses'!F:F)</f>
        <v>464.85</v>
      </c>
    </row>
    <row r="14" spans="1:5" x14ac:dyDescent="0.25">
      <c r="A14" s="46" t="s">
        <v>100</v>
      </c>
      <c r="B14" s="47">
        <f>E51</f>
        <v>-734.5</v>
      </c>
      <c r="D14" s="58" t="s">
        <v>77</v>
      </c>
      <c r="E14" s="57">
        <f>SUMIF('01 Income and Expenses'!C:C,'00 Summary'!D14,'01 Income and Expenses'!G:G)-SUMIF('01 Income and Expenses'!C:C,'00 Summary'!D14,'01 Income and Expenses'!F:F)</f>
        <v>75.8</v>
      </c>
    </row>
    <row r="15" spans="1:5" x14ac:dyDescent="0.25">
      <c r="A15" s="46" t="s">
        <v>36</v>
      </c>
      <c r="B15" s="47">
        <f>E47</f>
        <v>-5493.51</v>
      </c>
      <c r="D15" s="58" t="s">
        <v>81</v>
      </c>
      <c r="E15" s="57">
        <f>SUMIF('01 Income and Expenses'!C:C,'00 Summary'!D15,'01 Income and Expenses'!G:G)-SUMIF('01 Income and Expenses'!C:C,'00 Summary'!D15,'01 Income and Expenses'!F:F)</f>
        <v>352.85</v>
      </c>
    </row>
    <row r="16" spans="1:5" x14ac:dyDescent="0.25">
      <c r="A16" s="46" t="s">
        <v>38</v>
      </c>
      <c r="B16" s="47">
        <f>E52</f>
        <v>-130.88</v>
      </c>
      <c r="D16" s="58" t="s">
        <v>20</v>
      </c>
      <c r="E16" s="57">
        <f>SUMIF('01 Income and Expenses'!C:C,'00 Summary'!D16,'01 Income and Expenses'!G:G)-SUMIF('01 Income and Expenses'!C:C,'00 Summary'!D16,'01 Income and Expenses'!F:F)</f>
        <v>296.70999999999998</v>
      </c>
    </row>
    <row r="17" spans="1:5" x14ac:dyDescent="0.25">
      <c r="A17" s="26" t="s">
        <v>228</v>
      </c>
      <c r="B17" s="24">
        <f>SUM(B12:B16)</f>
        <v>3933.1500000000005</v>
      </c>
      <c r="D17" s="56" t="s">
        <v>106</v>
      </c>
      <c r="E17" s="57">
        <f>SUMIF('01 Income and Expenses'!C:C,'00 Summary'!D17,'01 Income and Expenses'!G:G)-SUMIF('01 Income and Expenses'!C:C,'00 Summary'!D17,'01 Income and Expenses'!F:F)</f>
        <v>20.18</v>
      </c>
    </row>
    <row r="18" spans="1:5" x14ac:dyDescent="0.25">
      <c r="A18" s="48"/>
      <c r="B18" s="49"/>
      <c r="D18" s="56" t="s">
        <v>21</v>
      </c>
      <c r="E18" s="57">
        <f>SUMIF('01 Income and Expenses'!C:C,'00 Summary'!D18,'01 Income and Expenses'!G:G)-SUMIF('01 Income and Expenses'!C:C,'00 Summary'!D18,'01 Income and Expenses'!F:F)</f>
        <v>48.239999999999995</v>
      </c>
    </row>
    <row r="19" spans="1:5" x14ac:dyDescent="0.25">
      <c r="A19" s="46" t="s">
        <v>226</v>
      </c>
      <c r="B19" s="47">
        <v>-592</v>
      </c>
      <c r="D19" s="56" t="s">
        <v>112</v>
      </c>
      <c r="E19" s="57">
        <f>SUMIF('01 Income and Expenses'!C:C,'00 Summary'!D19,'01 Income and Expenses'!G:G)-SUMIF('01 Income and Expenses'!C:C,'00 Summary'!D19,'01 Income and Expenses'!F:F)</f>
        <v>145.5</v>
      </c>
    </row>
    <row r="20" spans="1:5" x14ac:dyDescent="0.25">
      <c r="A20" s="46" t="s">
        <v>225</v>
      </c>
      <c r="B20" s="47">
        <f>-E23</f>
        <v>-1000</v>
      </c>
      <c r="D20" s="58" t="s">
        <v>170</v>
      </c>
      <c r="E20" s="57">
        <f>SUMIF('01 Income and Expenses'!C:C,'00 Summary'!D20,'01 Income and Expenses'!G:G)-SUMIF('01 Income and Expenses'!C:C,'00 Summary'!D20,'01 Income and Expenses'!F:F)</f>
        <v>47.75</v>
      </c>
    </row>
    <row r="21" spans="1:5" x14ac:dyDescent="0.25">
      <c r="A21" s="50"/>
      <c r="B21" s="51"/>
      <c r="D21" s="56" t="s">
        <v>70</v>
      </c>
      <c r="E21" s="57">
        <f>SUMIF('01 Income and Expenses'!C:C,'00 Summary'!D21,'01 Income and Expenses'!G:G)-SUMIF('01 Income and Expenses'!C:C,'00 Summary'!D21,'01 Income and Expenses'!F:F)</f>
        <v>552</v>
      </c>
    </row>
    <row r="22" spans="1:5" x14ac:dyDescent="0.25">
      <c r="A22" s="25" t="s">
        <v>230</v>
      </c>
      <c r="B22" s="23">
        <f>SUM(B17:B21)</f>
        <v>2341.1500000000005</v>
      </c>
      <c r="D22" s="56" t="s">
        <v>174</v>
      </c>
      <c r="E22" s="57">
        <f>SUMIF('01 Income and Expenses'!C:C,'00 Summary'!D22,'01 Income and Expenses'!G:G)-SUMIF('01 Income and Expenses'!C:C,'00 Summary'!D22,'01 Income and Expenses'!F:F)</f>
        <v>1000</v>
      </c>
    </row>
    <row r="23" spans="1:5" x14ac:dyDescent="0.25">
      <c r="B23"/>
      <c r="D23" s="56" t="s">
        <v>216</v>
      </c>
      <c r="E23" s="57">
        <f>SUMIF('01 Income and Expenses'!C:C,'00 Summary'!D23,'01 Income and Expenses'!G:G)-SUMIF('01 Income and Expenses'!C:C,'00 Summary'!D23,'01 Income and Expenses'!F:F)</f>
        <v>1000</v>
      </c>
    </row>
    <row r="24" spans="1:5" x14ac:dyDescent="0.25">
      <c r="B24"/>
      <c r="D24" s="56" t="s">
        <v>175</v>
      </c>
      <c r="E24" s="57">
        <f>SUMIF('01 Income and Expenses'!C:C,'00 Summary'!D24,'01 Income and Expenses'!G:G)-SUMIF('01 Income and Expenses'!C:C,'00 Summary'!D24,'01 Income and Expenses'!F:F)</f>
        <v>350.9</v>
      </c>
    </row>
    <row r="25" spans="1:5" x14ac:dyDescent="0.25">
      <c r="A25" s="27" t="s">
        <v>229</v>
      </c>
      <c r="B25" s="28" t="s">
        <v>9</v>
      </c>
      <c r="D25" s="56" t="s">
        <v>56</v>
      </c>
      <c r="E25" s="57">
        <f>SUMIF('01 Income and Expenses'!C:C,'00 Summary'!D25,'01 Income and Expenses'!G:G)-SUMIF('01 Income and Expenses'!C:C,'00 Summary'!D25,'01 Income and Expenses'!F:F)</f>
        <v>77.08</v>
      </c>
    </row>
    <row r="26" spans="1:5" x14ac:dyDescent="0.25">
      <c r="A26" s="52" t="s">
        <v>43</v>
      </c>
      <c r="B26" s="53">
        <f>B13</f>
        <v>4847.8500000000004</v>
      </c>
      <c r="D26" s="56" t="s">
        <v>188</v>
      </c>
      <c r="E26" s="57">
        <f>SUMIF('01 Income and Expenses'!C:C,'00 Summary'!D26,'01 Income and Expenses'!G:G)-SUMIF('01 Income and Expenses'!C:C,'00 Summary'!D26,'01 Income and Expenses'!F:F)</f>
        <v>181.39</v>
      </c>
    </row>
    <row r="27" spans="1:5" x14ac:dyDescent="0.25">
      <c r="A27" s="46" t="s">
        <v>100</v>
      </c>
      <c r="B27" s="55">
        <f>B14</f>
        <v>-734.5</v>
      </c>
      <c r="D27" s="56" t="s">
        <v>207</v>
      </c>
      <c r="E27" s="57">
        <f>SUMIF('01 Income and Expenses'!C:C,'00 Summary'!D27,'01 Income and Expenses'!G:G)-SUMIF('01 Income and Expenses'!C:C,'00 Summary'!D27,'01 Income and Expenses'!F:F)</f>
        <v>174.6</v>
      </c>
    </row>
    <row r="28" spans="1:5" x14ac:dyDescent="0.25">
      <c r="A28" s="54" t="s">
        <v>36</v>
      </c>
      <c r="B28" s="55">
        <f>B15+B21</f>
        <v>-5493.51</v>
      </c>
      <c r="D28" s="56" t="s">
        <v>221</v>
      </c>
      <c r="E28" s="57">
        <f>SUMIF('01 Income and Expenses'!C:C,'00 Summary'!D28,'01 Income and Expenses'!G:G)-SUMIF('01 Income and Expenses'!C:C,'00 Summary'!D28,'01 Income and Expenses'!F:F)</f>
        <v>60</v>
      </c>
    </row>
    <row r="29" spans="1:5" x14ac:dyDescent="0.25">
      <c r="A29" s="54" t="s">
        <v>38</v>
      </c>
      <c r="B29" s="55">
        <f>B16</f>
        <v>-130.88</v>
      </c>
      <c r="D29" s="34" t="s">
        <v>34</v>
      </c>
      <c r="E29" s="33">
        <f>SUM(E13:E28)</f>
        <v>4847.8500000000004</v>
      </c>
    </row>
    <row r="30" spans="1:5" x14ac:dyDescent="0.25">
      <c r="A30" s="30" t="s">
        <v>34</v>
      </c>
      <c r="B30" s="31">
        <f>SUM(B26:B29)</f>
        <v>-1511.04</v>
      </c>
      <c r="D30" s="19"/>
      <c r="E30" s="18"/>
    </row>
    <row r="31" spans="1:5" x14ac:dyDescent="0.25">
      <c r="A31" s="43"/>
      <c r="B31" s="44"/>
      <c r="D31" s="20" t="s">
        <v>36</v>
      </c>
      <c r="E31" s="18"/>
    </row>
    <row r="32" spans="1:5" x14ac:dyDescent="0.25">
      <c r="A32" s="41"/>
      <c r="B32" s="42"/>
      <c r="D32" s="21" t="s">
        <v>8</v>
      </c>
      <c r="E32" s="16" t="s">
        <v>39</v>
      </c>
    </row>
    <row r="33" spans="1:5" x14ac:dyDescent="0.25">
      <c r="A33" s="41"/>
      <c r="B33" s="42"/>
      <c r="D33" s="66" t="s">
        <v>22</v>
      </c>
      <c r="E33" s="65">
        <f>SUMIF('01 Income and Expenses'!C:C,'00 Summary'!D33,'01 Income and Expenses'!G:G)-SUMIF('01 Income and Expenses'!C:C,'00 Summary'!D33,'01 Income and Expenses'!F:F)</f>
        <v>-116</v>
      </c>
    </row>
    <row r="34" spans="1:5" x14ac:dyDescent="0.25">
      <c r="A34" s="37" t="s">
        <v>50</v>
      </c>
      <c r="D34" s="66" t="s">
        <v>153</v>
      </c>
      <c r="E34" s="65">
        <f>SUMIF('01 Income and Expenses'!C:C,'00 Summary'!D34,'01 Income and Expenses'!G:G)-SUMIF('01 Income and Expenses'!C:C,'00 Summary'!D34,'01 Income and Expenses'!F:F)</f>
        <v>-168.3</v>
      </c>
    </row>
    <row r="35" spans="1:5" x14ac:dyDescent="0.25">
      <c r="A35" s="16" t="s">
        <v>57</v>
      </c>
      <c r="B35" s="29" t="s">
        <v>9</v>
      </c>
      <c r="D35" s="66" t="s">
        <v>154</v>
      </c>
      <c r="E35" s="65">
        <f>SUMIF('01 Income and Expenses'!C:C,'00 Summary'!D35,'01 Income and Expenses'!G:G)-SUMIF('01 Income and Expenses'!C:C,'00 Summary'!D35,'01 Income and Expenses'!F:F)</f>
        <v>-318.75</v>
      </c>
    </row>
    <row r="36" spans="1:5" x14ac:dyDescent="0.25">
      <c r="A36" s="59" t="s">
        <v>49</v>
      </c>
      <c r="B36" s="53">
        <f>SUM(E33:E37)+E40</f>
        <v>-3407.2200000000003</v>
      </c>
      <c r="D36" s="66" t="s">
        <v>35</v>
      </c>
      <c r="E36" s="65">
        <f>SUMIF('01 Income and Expenses'!C:C,'00 Summary'!D36,'01 Income and Expenses'!G:G)-SUMIF('01 Income and Expenses'!C:C,'00 Summary'!D36,'01 Income and Expenses'!F:F)</f>
        <v>-833</v>
      </c>
    </row>
    <row r="37" spans="1:5" x14ac:dyDescent="0.25">
      <c r="A37" s="60" t="s">
        <v>46</v>
      </c>
      <c r="B37" s="55">
        <f>E38+E39</f>
        <v>-279.78999999999996</v>
      </c>
      <c r="D37" s="66" t="s">
        <v>141</v>
      </c>
      <c r="E37" s="65">
        <f>SUMIF('01 Income and Expenses'!C:C,'00 Summary'!D37,'01 Income and Expenses'!G:G)-SUMIF('01 Income and Expenses'!C:C,'00 Summary'!D37,'01 Income and Expenses'!F:F)</f>
        <v>-1829.41</v>
      </c>
    </row>
    <row r="38" spans="1:5" x14ac:dyDescent="0.25">
      <c r="A38" s="60" t="s">
        <v>47</v>
      </c>
      <c r="B38" s="55">
        <f t="shared" ref="B38:B43" si="0">E41</f>
        <v>-300</v>
      </c>
      <c r="D38" s="66" t="s">
        <v>126</v>
      </c>
      <c r="E38" s="65">
        <f>SUMIF('01 Income and Expenses'!C:C,'00 Summary'!D38,'01 Income and Expenses'!G:G)-SUMIF('01 Income and Expenses'!C:C,'00 Summary'!D38,'01 Income and Expenses'!F:F)</f>
        <v>-161.29</v>
      </c>
    </row>
    <row r="39" spans="1:5" x14ac:dyDescent="0.25">
      <c r="A39" s="60" t="s">
        <v>51</v>
      </c>
      <c r="B39" s="55">
        <f t="shared" si="0"/>
        <v>-330</v>
      </c>
      <c r="D39" s="66" t="s">
        <v>190</v>
      </c>
      <c r="E39" s="65">
        <f>SUMIF('01 Income and Expenses'!C:C,'00 Summary'!D39,'01 Income and Expenses'!G:G)-SUMIF('01 Income and Expenses'!C:C,'00 Summary'!D39,'01 Income and Expenses'!F:F)</f>
        <v>-118.5</v>
      </c>
    </row>
    <row r="40" spans="1:5" x14ac:dyDescent="0.25">
      <c r="A40" s="60" t="s">
        <v>52</v>
      </c>
      <c r="B40" s="55">
        <f t="shared" si="0"/>
        <v>-217</v>
      </c>
      <c r="D40" s="66" t="s">
        <v>124</v>
      </c>
      <c r="E40" s="65">
        <f>SUMIF('01 Income and Expenses'!C:C,'00 Summary'!D40,'01 Income and Expenses'!G:G)-SUMIF('01 Income and Expenses'!C:C,'00 Summary'!D40,'01 Income and Expenses'!F:F)</f>
        <v>-141.76</v>
      </c>
    </row>
    <row r="41" spans="1:5" x14ac:dyDescent="0.25">
      <c r="A41" s="60" t="s">
        <v>53</v>
      </c>
      <c r="B41" s="55">
        <f t="shared" si="0"/>
        <v>-217</v>
      </c>
      <c r="D41" s="66" t="s">
        <v>173</v>
      </c>
      <c r="E41" s="65">
        <f>SUMIF('01 Income and Expenses'!C:C,'00 Summary'!D41,'01 Income and Expenses'!G:G)-SUMIF('01 Income and Expenses'!C:C,'00 Summary'!D41,'01 Income and Expenses'!F:F)</f>
        <v>-300</v>
      </c>
    </row>
    <row r="42" spans="1:5" x14ac:dyDescent="0.25">
      <c r="A42" s="60" t="s">
        <v>54</v>
      </c>
      <c r="B42" s="55">
        <f t="shared" si="0"/>
        <v>-217</v>
      </c>
      <c r="D42" s="66" t="s">
        <v>48</v>
      </c>
      <c r="E42" s="65">
        <f>SUMIF('01 Income and Expenses'!C:C,'00 Summary'!D42,'01 Income and Expenses'!G:G)-SUMIF('01 Income and Expenses'!C:C,'00 Summary'!D42,'01 Income and Expenses'!F:F)</f>
        <v>-330</v>
      </c>
    </row>
    <row r="43" spans="1:5" x14ac:dyDescent="0.25">
      <c r="A43" s="60" t="s">
        <v>55</v>
      </c>
      <c r="B43" s="55">
        <f t="shared" si="0"/>
        <v>-525.5</v>
      </c>
      <c r="D43" s="66" t="s">
        <v>45</v>
      </c>
      <c r="E43" s="65">
        <f>SUMIF('01 Income and Expenses'!C:C,'00 Summary'!D43,'01 Income and Expenses'!G:G)-SUMIF('01 Income and Expenses'!C:C,'00 Summary'!D43,'01 Income and Expenses'!F:F)</f>
        <v>-217</v>
      </c>
    </row>
    <row r="44" spans="1:5" x14ac:dyDescent="0.25">
      <c r="A44" s="32" t="s">
        <v>34</v>
      </c>
      <c r="B44" s="31">
        <f>SUM(B36:B43)</f>
        <v>-5493.51</v>
      </c>
      <c r="D44" s="66" t="s">
        <v>41</v>
      </c>
      <c r="E44" s="65">
        <f>SUMIF('01 Income and Expenses'!C:C,'00 Summary'!D44,'01 Income and Expenses'!G:G)-SUMIF('01 Income and Expenses'!C:C,'00 Summary'!D44,'01 Income and Expenses'!F:F)</f>
        <v>-217</v>
      </c>
    </row>
    <row r="45" spans="1:5" x14ac:dyDescent="0.25">
      <c r="D45" s="66" t="s">
        <v>42</v>
      </c>
      <c r="E45" s="65">
        <f>SUMIF('01 Income and Expenses'!C:C,'00 Summary'!D45,'01 Income and Expenses'!G:G)-SUMIF('01 Income and Expenses'!C:C,'00 Summary'!D45,'01 Income and Expenses'!F:F)</f>
        <v>-217</v>
      </c>
    </row>
    <row r="46" spans="1:5" x14ac:dyDescent="0.25">
      <c r="A46" s="5" t="s">
        <v>58</v>
      </c>
      <c r="D46" s="66" t="s">
        <v>44</v>
      </c>
      <c r="E46" s="65">
        <f>SUMIF('01 Income and Expenses'!C:C,'00 Summary'!D46,'01 Income and Expenses'!G:G)-SUMIF('01 Income and Expenses'!C:C,'00 Summary'!D46,'01 Income and Expenses'!F:F)</f>
        <v>-525.5</v>
      </c>
    </row>
    <row r="47" spans="1:5" x14ac:dyDescent="0.25">
      <c r="A47" s="16"/>
      <c r="B47" s="29" t="s">
        <v>9</v>
      </c>
      <c r="D47" s="32" t="s">
        <v>34</v>
      </c>
      <c r="E47" s="31">
        <f>SUM(E33:E46)</f>
        <v>-5493.51</v>
      </c>
    </row>
    <row r="48" spans="1:5" x14ac:dyDescent="0.25">
      <c r="A48" s="62" t="s">
        <v>59</v>
      </c>
      <c r="B48" s="53">
        <f>'02 Bank'!G54</f>
        <v>3883.150000000001</v>
      </c>
      <c r="D48" s="19"/>
      <c r="E48" s="18"/>
    </row>
    <row r="49" spans="1:5" x14ac:dyDescent="0.25">
      <c r="A49" s="63" t="s">
        <v>5</v>
      </c>
      <c r="B49" s="55">
        <f>'03 Petty Cash'!F35</f>
        <v>50.000000000000007</v>
      </c>
      <c r="D49" s="5" t="s">
        <v>37</v>
      </c>
    </row>
    <row r="50" spans="1:5" x14ac:dyDescent="0.25">
      <c r="A50" s="63" t="s">
        <v>33</v>
      </c>
      <c r="B50" s="55">
        <f>'04 Uncleared Cheques'!F16</f>
        <v>0</v>
      </c>
      <c r="D50" s="16" t="s">
        <v>8</v>
      </c>
      <c r="E50" s="16" t="s">
        <v>39</v>
      </c>
    </row>
    <row r="51" spans="1:5" x14ac:dyDescent="0.25">
      <c r="A51" s="64" t="s">
        <v>7</v>
      </c>
      <c r="B51" s="61">
        <f>'05 Cash In Transit'!F10</f>
        <v>0</v>
      </c>
      <c r="D51" s="66" t="s">
        <v>40</v>
      </c>
      <c r="E51" s="67">
        <f>SUMIF('01 Income and Expenses'!C:C,'00 Summary'!D51,'01 Income and Expenses'!G:G)-SUMIF('01 Income and Expenses'!C:C,'00 Summary'!D51,'01 Income and Expenses'!F:F)</f>
        <v>-734.5</v>
      </c>
    </row>
    <row r="52" spans="1:5" x14ac:dyDescent="0.25">
      <c r="A52" s="32" t="s">
        <v>34</v>
      </c>
      <c r="B52" s="31">
        <f>SUM(B48:B51)</f>
        <v>3933.150000000001</v>
      </c>
      <c r="D52" s="68" t="s">
        <v>38</v>
      </c>
      <c r="E52" s="69">
        <f>SUMIF('01 Income and Expenses'!C:C,'00 Summary'!D52,'01 Income and Expenses'!G:G)-SUMIF('01 Income and Expenses'!C:C,'00 Summary'!D52,'01 Income and Expenses'!F:F)</f>
        <v>-130.88</v>
      </c>
    </row>
    <row r="53" spans="1:5" x14ac:dyDescent="0.25">
      <c r="A53" s="45" t="s">
        <v>19</v>
      </c>
      <c r="B53" s="90">
        <f>B52-B17</f>
        <v>0</v>
      </c>
      <c r="D53" s="35" t="s">
        <v>34</v>
      </c>
      <c r="E53" s="36">
        <f>SUM(E51:E52)</f>
        <v>-865.38</v>
      </c>
    </row>
    <row r="54" spans="1:5" x14ac:dyDescent="0.25"/>
    <row r="55" spans="1:5" x14ac:dyDescent="0.25">
      <c r="A55" s="19"/>
      <c r="B55" s="18"/>
      <c r="D55" s="32" t="s">
        <v>25</v>
      </c>
      <c r="E55" s="31">
        <f>E29+E47+E53</f>
        <v>-1511.04</v>
      </c>
    </row>
    <row r="56" spans="1:5" x14ac:dyDescent="0.25">
      <c r="E56" s="4"/>
    </row>
    <row r="57" spans="1:5" x14ac:dyDescent="0.25">
      <c r="D57" s="80"/>
      <c r="E57" s="80"/>
    </row>
    <row r="58" spans="1:5" x14ac:dyDescent="0.25">
      <c r="A58" s="80"/>
      <c r="B58" s="80"/>
      <c r="D58" s="80"/>
      <c r="E58" s="80"/>
    </row>
    <row r="59" spans="1:5" x14ac:dyDescent="0.25">
      <c r="A59" s="80"/>
      <c r="B59" s="80"/>
      <c r="D59" s="80"/>
      <c r="E59" s="80"/>
    </row>
    <row r="60" spans="1:5" x14ac:dyDescent="0.25">
      <c r="A60" s="80"/>
      <c r="B60" s="80"/>
      <c r="C60" s="84"/>
      <c r="E60" s="4"/>
    </row>
    <row r="61" spans="1:5" x14ac:dyDescent="0.25">
      <c r="C61" s="84"/>
      <c r="E61" s="14"/>
    </row>
    <row r="62" spans="1:5" x14ac:dyDescent="0.25">
      <c r="A62" s="1"/>
      <c r="B62" s="79" t="s">
        <v>1</v>
      </c>
      <c r="C62" s="79" t="s">
        <v>232</v>
      </c>
      <c r="D62" s="79" t="s">
        <v>62</v>
      </c>
      <c r="E62" s="14"/>
    </row>
    <row r="63" spans="1:5" x14ac:dyDescent="0.25">
      <c r="A63" s="91" t="s">
        <v>65</v>
      </c>
      <c r="B63" s="91"/>
      <c r="C63" s="91"/>
      <c r="D63" s="91"/>
      <c r="E63" s="14"/>
    </row>
    <row r="64" spans="1:5" x14ac:dyDescent="0.25">
      <c r="A64" s="92"/>
      <c r="B64" s="92"/>
      <c r="C64" s="92"/>
      <c r="D64" s="92"/>
      <c r="E64" s="14"/>
    </row>
    <row r="65" spans="1:5" x14ac:dyDescent="0.25">
      <c r="A65" s="91" t="s">
        <v>63</v>
      </c>
      <c r="B65" s="91"/>
      <c r="C65" s="91"/>
      <c r="D65" s="91"/>
      <c r="E65" s="14"/>
    </row>
    <row r="66" spans="1:5" x14ac:dyDescent="0.25">
      <c r="A66" s="92"/>
      <c r="B66" s="92"/>
      <c r="C66" s="92"/>
      <c r="D66" s="92"/>
    </row>
    <row r="67" spans="1:5" x14ac:dyDescent="0.25">
      <c r="A67" s="91" t="s">
        <v>64</v>
      </c>
      <c r="B67" s="91"/>
      <c r="C67" s="91"/>
      <c r="D67" s="91"/>
    </row>
    <row r="68" spans="1:5" x14ac:dyDescent="0.25">
      <c r="A68" s="92"/>
      <c r="B68" s="92"/>
      <c r="C68" s="92"/>
      <c r="D68" s="9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  <row r="74" spans="1:5" x14ac:dyDescent="0.25"/>
    <row r="75" spans="1:5" x14ac:dyDescent="0.25"/>
  </sheetData>
  <mergeCells count="12">
    <mergeCell ref="A67:A68"/>
    <mergeCell ref="C67:C68"/>
    <mergeCell ref="D67:D68"/>
    <mergeCell ref="B67:B68"/>
    <mergeCell ref="A63:A64"/>
    <mergeCell ref="B63:B64"/>
    <mergeCell ref="C63:C64"/>
    <mergeCell ref="D63:D64"/>
    <mergeCell ref="A65:A66"/>
    <mergeCell ref="B65:B66"/>
    <mergeCell ref="C65:C66"/>
    <mergeCell ref="D65:D66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8B6C-959C-4C1C-ABB7-67C8ACDA6CC5}">
  <dimension ref="A1:P99"/>
  <sheetViews>
    <sheetView workbookViewId="0">
      <selection activeCell="C1" sqref="C1"/>
    </sheetView>
  </sheetViews>
  <sheetFormatPr defaultColWidth="0" defaultRowHeight="15" x14ac:dyDescent="0.25"/>
  <cols>
    <col min="1" max="1" width="11.5703125" style="3" customWidth="1"/>
    <col min="2" max="2" width="38.140625" customWidth="1"/>
    <col min="3" max="3" width="21.7109375" customWidth="1"/>
    <col min="4" max="4" width="9.42578125" customWidth="1"/>
    <col min="5" max="5" width="15.28515625" style="1" bestFit="1" customWidth="1"/>
    <col min="6" max="8" width="12.140625" style="4" customWidth="1"/>
    <col min="9" max="9" width="19.7109375" bestFit="1" customWidth="1"/>
    <col min="10" max="11" width="19.7109375" customWidth="1"/>
    <col min="12" max="12" width="9.140625" customWidth="1"/>
    <col min="13" max="13" width="19.7109375" hidden="1" customWidth="1"/>
    <col min="14" max="16" width="0" hidden="1" customWidth="1"/>
    <col min="17" max="16384" width="9.140625" hidden="1"/>
  </cols>
  <sheetData>
    <row r="1" spans="1:16" x14ac:dyDescent="0.25">
      <c r="A1"/>
      <c r="P1" s="12"/>
    </row>
    <row r="2" spans="1:16" x14ac:dyDescent="0.25">
      <c r="A2"/>
      <c r="P2" s="12"/>
    </row>
    <row r="3" spans="1:16" x14ac:dyDescent="0.25">
      <c r="A3"/>
      <c r="P3" s="12"/>
    </row>
    <row r="4" spans="1:16" x14ac:dyDescent="0.25">
      <c r="A4"/>
      <c r="M4" s="1"/>
      <c r="P4" s="12"/>
    </row>
    <row r="5" spans="1:16" ht="6.75" customHeight="1" x14ac:dyDescent="0.25">
      <c r="A5"/>
      <c r="D5" s="1"/>
      <c r="E5"/>
      <c r="F5"/>
      <c r="G5"/>
      <c r="H5"/>
    </row>
    <row r="6" spans="1:16" x14ac:dyDescent="0.25">
      <c r="A6" s="5" t="s">
        <v>26</v>
      </c>
      <c r="P6" s="12"/>
    </row>
    <row r="7" spans="1:16" x14ac:dyDescent="0.25">
      <c r="A7" s="5" t="s">
        <v>69</v>
      </c>
      <c r="P7" s="12"/>
    </row>
    <row r="8" spans="1:16" ht="30" customHeight="1" x14ac:dyDescent="0.25">
      <c r="A8" s="6" t="s">
        <v>1</v>
      </c>
      <c r="B8" s="7" t="s">
        <v>0</v>
      </c>
      <c r="C8" s="7" t="s">
        <v>8</v>
      </c>
      <c r="D8" s="7" t="s">
        <v>16</v>
      </c>
      <c r="E8" s="7" t="s">
        <v>2</v>
      </c>
      <c r="F8" s="8" t="s">
        <v>4</v>
      </c>
      <c r="G8" s="8" t="s">
        <v>3</v>
      </c>
      <c r="H8" s="8" t="s">
        <v>32</v>
      </c>
      <c r="I8" s="7" t="s">
        <v>10</v>
      </c>
      <c r="J8" s="7" t="s">
        <v>18</v>
      </c>
      <c r="K8" s="10" t="s">
        <v>19</v>
      </c>
    </row>
    <row r="9" spans="1:16" x14ac:dyDescent="0.25">
      <c r="A9" s="3">
        <v>44098</v>
      </c>
      <c r="B9" t="s">
        <v>71</v>
      </c>
      <c r="C9" t="s">
        <v>70</v>
      </c>
      <c r="D9" t="s">
        <v>17</v>
      </c>
      <c r="G9" s="40">
        <v>186</v>
      </c>
      <c r="H9" s="4">
        <f>G9-F9</f>
        <v>186</v>
      </c>
      <c r="I9" s="1" t="s">
        <v>6</v>
      </c>
      <c r="J9" s="4" t="s">
        <v>67</v>
      </c>
      <c r="K9" s="4">
        <f>SUMIF(J:J,J9,G:G)-SUMIF(J:J,J9,F:F)+SUMIF('02 Bank'!H:H,'01 Income and Expenses'!J9,'02 Bank'!E:E)-SUMIF('02 Bank'!H:H,'01 Income and Expenses'!J9,'02 Bank'!F:F)+SUMIF('03 Petty Cash'!G:G,'01 Income and Expenses'!J9,'03 Petty Cash'!D:D)-SUMIF('03 Petty Cash'!G:G,'01 Income and Expenses'!J9,'03 Petty Cash'!E:E)+SUMIF('04 Uncleared Cheques'!G:G,'01 Income and Expenses'!J9,'04 Uncleared Cheques'!D:D)-SUMIF('04 Uncleared Cheques'!G:G,'01 Income and Expenses'!J9,'04 Uncleared Cheques'!E:E)+SUMIF('05 Cash In Transit'!G:G,'01 Income and Expenses'!J9,'05 Cash In Transit'!D:D)-SUMIF('05 Cash In Transit'!G:G,'01 Income and Expenses'!J9,'05 Cash In Transit'!E:E)</f>
        <v>0</v>
      </c>
      <c r="L9" t="str">
        <f>VLOOKUP(C9,'00 Summary'!D:D,1,0)</f>
        <v>Bags to School</v>
      </c>
    </row>
    <row r="10" spans="1:16" x14ac:dyDescent="0.25">
      <c r="A10" s="3">
        <v>44100</v>
      </c>
      <c r="B10" t="s">
        <v>74</v>
      </c>
      <c r="C10" t="s">
        <v>35</v>
      </c>
      <c r="D10" t="s">
        <v>17</v>
      </c>
      <c r="E10" s="9" t="s">
        <v>73</v>
      </c>
      <c r="F10" s="4">
        <v>333</v>
      </c>
      <c r="H10" s="4">
        <f>G10-F10+H9</f>
        <v>-147</v>
      </c>
      <c r="I10" s="1" t="s">
        <v>6</v>
      </c>
      <c r="J10" s="4" t="s">
        <v>89</v>
      </c>
      <c r="K10" s="4">
        <f>SUMIF(J:J,J10,G:G)-SUMIF(J:J,J10,F:F)+SUMIF('02 Bank'!H:H,'01 Income and Expenses'!J10,'02 Bank'!E:E)-SUMIF('02 Bank'!H:H,'01 Income and Expenses'!J10,'02 Bank'!F:F)+SUMIF('03 Petty Cash'!G:G,'01 Income and Expenses'!J10,'03 Petty Cash'!D:D)-SUMIF('03 Petty Cash'!G:G,'01 Income and Expenses'!J10,'03 Petty Cash'!E:E)+SUMIF('04 Uncleared Cheques'!G:G,'01 Income and Expenses'!J10,'04 Uncleared Cheques'!D:D)-SUMIF('04 Uncleared Cheques'!G:G,'01 Income and Expenses'!J10,'04 Uncleared Cheques'!E:E)+SUMIF('05 Cash In Transit'!G:G,'01 Income and Expenses'!J10,'05 Cash In Transit'!D:D)-SUMIF('05 Cash In Transit'!G:G,'01 Income and Expenses'!J10,'05 Cash In Transit'!E:E)</f>
        <v>0</v>
      </c>
      <c r="L10" t="str">
        <f>VLOOKUP(C10,'00 Summary'!D:D,1,0)</f>
        <v>Car Park</v>
      </c>
    </row>
    <row r="11" spans="1:16" x14ac:dyDescent="0.25">
      <c r="A11" s="3">
        <v>44105</v>
      </c>
      <c r="B11" t="s">
        <v>76</v>
      </c>
      <c r="C11" t="s">
        <v>45</v>
      </c>
      <c r="D11" t="s">
        <v>17</v>
      </c>
      <c r="E11" s="9" t="s">
        <v>75</v>
      </c>
      <c r="F11" s="4">
        <v>217</v>
      </c>
      <c r="H11" s="4">
        <f t="shared" ref="H11:H48" si="0">G11-F11+H10</f>
        <v>-364</v>
      </c>
      <c r="I11" s="1" t="s">
        <v>6</v>
      </c>
      <c r="J11" s="4" t="s">
        <v>88</v>
      </c>
      <c r="K11" s="4">
        <f>SUMIF(J:J,J11,G:G)-SUMIF(J:J,J11,F:F)+SUMIF('02 Bank'!H:H,'01 Income and Expenses'!J11,'02 Bank'!E:E)-SUMIF('02 Bank'!H:H,'01 Income and Expenses'!J11,'02 Bank'!F:F)+SUMIF('03 Petty Cash'!G:G,'01 Income and Expenses'!J11,'03 Petty Cash'!D:D)-SUMIF('03 Petty Cash'!G:G,'01 Income and Expenses'!J11,'03 Petty Cash'!E:E)+SUMIF('04 Uncleared Cheques'!G:G,'01 Income and Expenses'!J11,'04 Uncleared Cheques'!D:D)-SUMIF('04 Uncleared Cheques'!G:G,'01 Income and Expenses'!J11,'04 Uncleared Cheques'!E:E)+SUMIF('05 Cash In Transit'!G:G,'01 Income and Expenses'!J11,'05 Cash In Transit'!D:D)-SUMIF('05 Cash In Transit'!G:G,'01 Income and Expenses'!J11,'05 Cash In Transit'!E:E)</f>
        <v>0</v>
      </c>
      <c r="L11" t="str">
        <f>VLOOKUP(C11,'00 Summary'!D:D,1,0)</f>
        <v>Y3 Stone Age Day</v>
      </c>
    </row>
    <row r="12" spans="1:16" x14ac:dyDescent="0.25">
      <c r="A12" s="3">
        <v>44123</v>
      </c>
      <c r="B12" t="s">
        <v>78</v>
      </c>
      <c r="C12" t="s">
        <v>77</v>
      </c>
      <c r="D12" t="s">
        <v>14</v>
      </c>
      <c r="F12" s="40">
        <v>24.2</v>
      </c>
      <c r="G12" s="40"/>
      <c r="H12" s="4">
        <f t="shared" si="0"/>
        <v>-388.2</v>
      </c>
      <c r="I12" s="1" t="s">
        <v>5</v>
      </c>
      <c r="J12" s="1" t="s">
        <v>68</v>
      </c>
      <c r="K12" s="4">
        <f>SUMIF(J:J,J12,G:G)-SUMIF(J:J,J12,F:F)+SUMIF('02 Bank'!H:H,'01 Income and Expenses'!J12,'02 Bank'!E:E)-SUMIF('02 Bank'!H:H,'01 Income and Expenses'!J12,'02 Bank'!F:F)+SUMIF('03 Petty Cash'!G:G,'01 Income and Expenses'!J12,'03 Petty Cash'!D:D)-SUMIF('03 Petty Cash'!G:G,'01 Income and Expenses'!J12,'03 Petty Cash'!E:E)+SUMIF('04 Uncleared Cheques'!G:G,'01 Income and Expenses'!J12,'04 Uncleared Cheques'!D:D)-SUMIF('04 Uncleared Cheques'!G:G,'01 Income and Expenses'!J12,'04 Uncleared Cheques'!E:E)+SUMIF('05 Cash In Transit'!G:G,'01 Income and Expenses'!J12,'05 Cash In Transit'!D:D)-SUMIF('05 Cash In Transit'!G:G,'01 Income and Expenses'!J12,'05 Cash In Transit'!E:E)</f>
        <v>0</v>
      </c>
      <c r="L12" t="str">
        <f>VLOOKUP(C12,'00 Summary'!D:D,1,0)</f>
        <v>Halloween Hamper</v>
      </c>
    </row>
    <row r="13" spans="1:16" x14ac:dyDescent="0.25">
      <c r="A13" s="3">
        <v>44123</v>
      </c>
      <c r="B13" t="s">
        <v>79</v>
      </c>
      <c r="C13" t="s">
        <v>81</v>
      </c>
      <c r="D13" t="s">
        <v>14</v>
      </c>
      <c r="F13" s="40">
        <v>31</v>
      </c>
      <c r="G13" s="40"/>
      <c r="H13" s="4">
        <f t="shared" si="0"/>
        <v>-419.2</v>
      </c>
      <c r="I13" s="1" t="s">
        <v>5</v>
      </c>
      <c r="J13" s="1" t="s">
        <v>80</v>
      </c>
      <c r="K13" s="4">
        <f>SUMIF(J:J,J13,G:G)-SUMIF(J:J,J13,F:F)+SUMIF('02 Bank'!H:H,'01 Income and Expenses'!J13,'02 Bank'!E:E)-SUMIF('02 Bank'!H:H,'01 Income and Expenses'!J13,'02 Bank'!F:F)+SUMIF('03 Petty Cash'!G:G,'01 Income and Expenses'!J13,'03 Petty Cash'!D:D)-SUMIF('03 Petty Cash'!G:G,'01 Income and Expenses'!J13,'03 Petty Cash'!E:E)+SUMIF('04 Uncleared Cheques'!G:G,'01 Income and Expenses'!J13,'04 Uncleared Cheques'!D:D)-SUMIF('04 Uncleared Cheques'!G:G,'01 Income and Expenses'!J13,'04 Uncleared Cheques'!E:E)+SUMIF('05 Cash In Transit'!G:G,'01 Income and Expenses'!J13,'05 Cash In Transit'!D:D)-SUMIF('05 Cash In Transit'!G:G,'01 Income and Expenses'!J13,'05 Cash In Transit'!E:E)</f>
        <v>0</v>
      </c>
      <c r="L13" t="str">
        <f>VLOOKUP(C13,'00 Summary'!D:D,1,0)</f>
        <v>Halloween Party</v>
      </c>
    </row>
    <row r="14" spans="1:16" x14ac:dyDescent="0.25">
      <c r="A14" s="3">
        <v>44130</v>
      </c>
      <c r="B14" t="s">
        <v>82</v>
      </c>
      <c r="C14" t="s">
        <v>77</v>
      </c>
      <c r="D14" t="s">
        <v>14</v>
      </c>
      <c r="F14" s="40"/>
      <c r="G14" s="40">
        <v>100</v>
      </c>
      <c r="H14" s="4">
        <f t="shared" si="0"/>
        <v>-319.2</v>
      </c>
      <c r="I14" s="1" t="s">
        <v>6</v>
      </c>
      <c r="J14" s="1" t="s">
        <v>90</v>
      </c>
      <c r="K14" s="4">
        <f>SUMIF(J:J,J14,G:G)-SUMIF(J:J,J14,F:F)+SUMIF('02 Bank'!H:H,'01 Income and Expenses'!J14,'02 Bank'!E:E)-SUMIF('02 Bank'!H:H,'01 Income and Expenses'!J14,'02 Bank'!F:F)+SUMIF('03 Petty Cash'!G:G,'01 Income and Expenses'!J14,'03 Petty Cash'!D:D)-SUMIF('03 Petty Cash'!G:G,'01 Income and Expenses'!J14,'03 Petty Cash'!E:E)+SUMIF('04 Uncleared Cheques'!G:G,'01 Income and Expenses'!J14,'04 Uncleared Cheques'!D:D)-SUMIF('04 Uncleared Cheques'!G:G,'01 Income and Expenses'!J14,'04 Uncleared Cheques'!E:E)+SUMIF('05 Cash In Transit'!G:G,'01 Income and Expenses'!J14,'05 Cash In Transit'!D:D)-SUMIF('05 Cash In Transit'!G:G,'01 Income and Expenses'!J14,'05 Cash In Transit'!E:E)</f>
        <v>0</v>
      </c>
      <c r="L14" t="str">
        <f>VLOOKUP(C14,'00 Summary'!D:D,1,0)</f>
        <v>Halloween Hamper</v>
      </c>
    </row>
    <row r="15" spans="1:16" x14ac:dyDescent="0.25">
      <c r="A15" s="3">
        <v>44130</v>
      </c>
      <c r="B15" t="s">
        <v>83</v>
      </c>
      <c r="C15" t="s">
        <v>81</v>
      </c>
      <c r="D15" t="s">
        <v>14</v>
      </c>
      <c r="F15" s="40"/>
      <c r="G15" s="40">
        <v>383.85</v>
      </c>
      <c r="H15" s="4">
        <f t="shared" si="0"/>
        <v>64.650000000000034</v>
      </c>
      <c r="I15" s="1" t="s">
        <v>6</v>
      </c>
      <c r="J15" s="1" t="s">
        <v>93</v>
      </c>
      <c r="K15" s="4">
        <f>SUMIF(J:J,J15,G:G)-SUMIF(J:J,J15,F:F)+SUMIF('02 Bank'!H:H,'01 Income and Expenses'!J15,'02 Bank'!E:E)-SUMIF('02 Bank'!H:H,'01 Income and Expenses'!J15,'02 Bank'!F:F)+SUMIF('03 Petty Cash'!G:G,'01 Income and Expenses'!J15,'03 Petty Cash'!D:D)-SUMIF('03 Petty Cash'!G:G,'01 Income and Expenses'!J15,'03 Petty Cash'!E:E)+SUMIF('04 Uncleared Cheques'!G:G,'01 Income and Expenses'!J15,'04 Uncleared Cheques'!D:D)-SUMIF('04 Uncleared Cheques'!G:G,'01 Income and Expenses'!J15,'04 Uncleared Cheques'!E:E)+SUMIF('05 Cash In Transit'!G:G,'01 Income and Expenses'!J15,'05 Cash In Transit'!D:D)-SUMIF('05 Cash In Transit'!G:G,'01 Income and Expenses'!J15,'05 Cash In Transit'!E:E)</f>
        <v>0</v>
      </c>
      <c r="L15" t="str">
        <f>VLOOKUP(C15,'00 Summary'!D:D,1,0)</f>
        <v>Halloween Party</v>
      </c>
    </row>
    <row r="16" spans="1:16" x14ac:dyDescent="0.25">
      <c r="A16" s="3">
        <v>44130</v>
      </c>
      <c r="B16" t="s">
        <v>84</v>
      </c>
      <c r="C16" t="s">
        <v>85</v>
      </c>
      <c r="D16" t="s">
        <v>14</v>
      </c>
      <c r="F16" s="40"/>
      <c r="G16" s="40">
        <v>83.1</v>
      </c>
      <c r="H16" s="4">
        <f t="shared" si="0"/>
        <v>147.75000000000003</v>
      </c>
      <c r="I16" s="1" t="s">
        <v>6</v>
      </c>
      <c r="J16" s="1" t="s">
        <v>127</v>
      </c>
      <c r="K16" s="4">
        <f>SUMIF(J:J,J16,G:G)-SUMIF(J:J,J16,F:F)+SUMIF('02 Bank'!H:H,'01 Income and Expenses'!J16,'02 Bank'!E:E)-SUMIF('02 Bank'!H:H,'01 Income and Expenses'!J16,'02 Bank'!F:F)+SUMIF('03 Petty Cash'!G:G,'01 Income and Expenses'!J16,'03 Petty Cash'!D:D)-SUMIF('03 Petty Cash'!G:G,'01 Income and Expenses'!J16,'03 Petty Cash'!E:E)+SUMIF('04 Uncleared Cheques'!G:G,'01 Income and Expenses'!J16,'04 Uncleared Cheques'!D:D)-SUMIF('04 Uncleared Cheques'!G:G,'01 Income and Expenses'!J16,'04 Uncleared Cheques'!E:E)+SUMIF('05 Cash In Transit'!G:G,'01 Income and Expenses'!J16,'05 Cash In Transit'!D:D)-SUMIF('05 Cash In Transit'!G:G,'01 Income and Expenses'!J16,'05 Cash In Transit'!E:E)</f>
        <v>0</v>
      </c>
      <c r="L16" t="str">
        <f>VLOOKUP(C16,'00 Summary'!D:D,1,0)</f>
        <v>5p Challenge</v>
      </c>
    </row>
    <row r="17" spans="1:12" x14ac:dyDescent="0.25">
      <c r="A17" s="3">
        <v>44130</v>
      </c>
      <c r="B17" t="s">
        <v>84</v>
      </c>
      <c r="C17" t="s">
        <v>85</v>
      </c>
      <c r="D17" t="s">
        <v>14</v>
      </c>
      <c r="F17" s="40"/>
      <c r="G17" s="40">
        <v>100</v>
      </c>
      <c r="H17" s="4">
        <f t="shared" si="0"/>
        <v>247.75000000000003</v>
      </c>
      <c r="I17" s="1" t="s">
        <v>6</v>
      </c>
      <c r="J17" s="1" t="s">
        <v>128</v>
      </c>
      <c r="K17" s="4">
        <f>SUMIF(J:J,J17,G:G)-SUMIF(J:J,J17,F:F)+SUMIF('02 Bank'!H:H,'01 Income and Expenses'!J17,'02 Bank'!E:E)-SUMIF('02 Bank'!H:H,'01 Income and Expenses'!J17,'02 Bank'!F:F)+SUMIF('03 Petty Cash'!G:G,'01 Income and Expenses'!J17,'03 Petty Cash'!D:D)-SUMIF('03 Petty Cash'!G:G,'01 Income and Expenses'!J17,'03 Petty Cash'!E:E)+SUMIF('04 Uncleared Cheques'!G:G,'01 Income and Expenses'!J17,'04 Uncleared Cheques'!D:D)-SUMIF('04 Uncleared Cheques'!G:G,'01 Income and Expenses'!J17,'04 Uncleared Cheques'!E:E)+SUMIF('05 Cash In Transit'!G:G,'01 Income and Expenses'!J17,'05 Cash In Transit'!D:D)-SUMIF('05 Cash In Transit'!G:G,'01 Income and Expenses'!J17,'05 Cash In Transit'!E:E)</f>
        <v>0</v>
      </c>
      <c r="L17" t="str">
        <f>VLOOKUP(C17,'00 Summary'!D:D,1,0)</f>
        <v>5p Challenge</v>
      </c>
    </row>
    <row r="18" spans="1:12" x14ac:dyDescent="0.25">
      <c r="A18" s="3">
        <v>44130</v>
      </c>
      <c r="B18" t="s">
        <v>84</v>
      </c>
      <c r="C18" t="s">
        <v>85</v>
      </c>
      <c r="D18" t="s">
        <v>14</v>
      </c>
      <c r="F18" s="40"/>
      <c r="G18" s="40">
        <v>100</v>
      </c>
      <c r="H18" s="4">
        <f t="shared" si="0"/>
        <v>347.75</v>
      </c>
      <c r="I18" s="1" t="s">
        <v>6</v>
      </c>
      <c r="J18" s="1" t="s">
        <v>181</v>
      </c>
      <c r="K18" s="4">
        <f>SUMIF(J:J,J18,G:G)-SUMIF(J:J,J18,F:F)+SUMIF('02 Bank'!H:H,'01 Income and Expenses'!J18,'02 Bank'!E:E)-SUMIF('02 Bank'!H:H,'01 Income and Expenses'!J18,'02 Bank'!F:F)+SUMIF('03 Petty Cash'!G:G,'01 Income and Expenses'!J18,'03 Petty Cash'!D:D)-SUMIF('03 Petty Cash'!G:G,'01 Income and Expenses'!J18,'03 Petty Cash'!E:E)+SUMIF('04 Uncleared Cheques'!G:G,'01 Income and Expenses'!J18,'04 Uncleared Cheques'!D:D)-SUMIF('04 Uncleared Cheques'!G:G,'01 Income and Expenses'!J18,'04 Uncleared Cheques'!E:E)+SUMIF('05 Cash In Transit'!G:G,'01 Income and Expenses'!J18,'05 Cash In Transit'!D:D)-SUMIF('05 Cash In Transit'!G:G,'01 Income and Expenses'!J18,'05 Cash In Transit'!E:E)</f>
        <v>0</v>
      </c>
      <c r="L18" t="str">
        <f>VLOOKUP(C18,'00 Summary'!D:D,1,0)</f>
        <v>5p Challenge</v>
      </c>
    </row>
    <row r="19" spans="1:12" x14ac:dyDescent="0.25">
      <c r="A19" s="3">
        <v>44105</v>
      </c>
      <c r="B19" t="s">
        <v>92</v>
      </c>
      <c r="C19" t="s">
        <v>38</v>
      </c>
      <c r="D19" t="s">
        <v>14</v>
      </c>
      <c r="G19" s="40">
        <v>0.01</v>
      </c>
      <c r="H19" s="4">
        <f t="shared" si="0"/>
        <v>347.76</v>
      </c>
      <c r="I19" s="1" t="s">
        <v>6</v>
      </c>
      <c r="J19" s="4" t="s">
        <v>91</v>
      </c>
      <c r="K19" s="4">
        <f>SUMIF(J:J,J19,G:G)-SUMIF(J:J,J19,F:F)+SUMIF('02 Bank'!H:H,'01 Income and Expenses'!J19,'02 Bank'!E:E)-SUMIF('02 Bank'!H:H,'01 Income and Expenses'!J19,'02 Bank'!F:F)+SUMIF('03 Petty Cash'!G:G,'01 Income and Expenses'!J19,'03 Petty Cash'!D:D)-SUMIF('03 Petty Cash'!G:G,'01 Income and Expenses'!J19,'03 Petty Cash'!E:E)+SUMIF('04 Uncleared Cheques'!G:G,'01 Income and Expenses'!J19,'04 Uncleared Cheques'!D:D)-SUMIF('04 Uncleared Cheques'!G:G,'01 Income and Expenses'!J19,'04 Uncleared Cheques'!E:E)+SUMIF('05 Cash In Transit'!G:G,'01 Income and Expenses'!J19,'05 Cash In Transit'!D:D)-SUMIF('05 Cash In Transit'!G:G,'01 Income and Expenses'!J19,'05 Cash In Transit'!E:E)</f>
        <v>0</v>
      </c>
      <c r="L19" t="str">
        <f>VLOOKUP(C19,'00 Summary'!D:D,1,0)</f>
        <v>Other Expenses</v>
      </c>
    </row>
    <row r="20" spans="1:12" x14ac:dyDescent="0.25">
      <c r="A20" s="3">
        <v>44130</v>
      </c>
      <c r="B20" t="s">
        <v>84</v>
      </c>
      <c r="C20" t="s">
        <v>85</v>
      </c>
      <c r="D20" t="s">
        <v>14</v>
      </c>
      <c r="G20" s="40">
        <v>100</v>
      </c>
      <c r="H20" s="4">
        <f t="shared" si="0"/>
        <v>447.76</v>
      </c>
      <c r="I20" s="1" t="s">
        <v>6</v>
      </c>
      <c r="J20" s="4" t="s">
        <v>94</v>
      </c>
      <c r="K20" s="4">
        <f>SUMIF(J:J,J20,G:G)-SUMIF(J:J,J20,F:F)+SUMIF('02 Bank'!H:H,'01 Income and Expenses'!J20,'02 Bank'!E:E)-SUMIF('02 Bank'!H:H,'01 Income and Expenses'!J20,'02 Bank'!F:F)+SUMIF('03 Petty Cash'!G:G,'01 Income and Expenses'!J20,'03 Petty Cash'!D:D)-SUMIF('03 Petty Cash'!G:G,'01 Income and Expenses'!J20,'03 Petty Cash'!E:E)+SUMIF('04 Uncleared Cheques'!G:G,'01 Income and Expenses'!J20,'04 Uncleared Cheques'!D:D)-SUMIF('04 Uncleared Cheques'!G:G,'01 Income and Expenses'!J20,'04 Uncleared Cheques'!E:E)+SUMIF('05 Cash In Transit'!G:G,'01 Income and Expenses'!J20,'05 Cash In Transit'!D:D)-SUMIF('05 Cash In Transit'!G:G,'01 Income and Expenses'!J20,'05 Cash In Transit'!E:E)</f>
        <v>0</v>
      </c>
      <c r="L20" t="str">
        <f>VLOOKUP(C20,'00 Summary'!D:D,1,0)</f>
        <v>5p Challenge</v>
      </c>
    </row>
    <row r="21" spans="1:12" x14ac:dyDescent="0.25">
      <c r="A21" s="3">
        <v>44130</v>
      </c>
      <c r="B21" t="s">
        <v>84</v>
      </c>
      <c r="C21" t="s">
        <v>85</v>
      </c>
      <c r="D21" t="s">
        <v>14</v>
      </c>
      <c r="G21" s="40">
        <v>100</v>
      </c>
      <c r="H21" s="4">
        <f t="shared" si="0"/>
        <v>547.76</v>
      </c>
      <c r="I21" s="1" t="s">
        <v>6</v>
      </c>
      <c r="J21" s="4" t="s">
        <v>95</v>
      </c>
      <c r="K21" s="4">
        <f>SUMIF(J:J,J21,G:G)-SUMIF(J:J,J21,F:F)+SUMIF('02 Bank'!H:H,'01 Income and Expenses'!J21,'02 Bank'!E:E)-SUMIF('02 Bank'!H:H,'01 Income and Expenses'!J21,'02 Bank'!F:F)+SUMIF('03 Petty Cash'!G:G,'01 Income and Expenses'!J21,'03 Petty Cash'!D:D)-SUMIF('03 Petty Cash'!G:G,'01 Income and Expenses'!J21,'03 Petty Cash'!E:E)+SUMIF('04 Uncleared Cheques'!G:G,'01 Income and Expenses'!J21,'04 Uncleared Cheques'!D:D)-SUMIF('04 Uncleared Cheques'!G:G,'01 Income and Expenses'!J21,'04 Uncleared Cheques'!E:E)+SUMIF('05 Cash In Transit'!G:G,'01 Income and Expenses'!J21,'05 Cash In Transit'!D:D)-SUMIF('05 Cash In Transit'!G:G,'01 Income and Expenses'!J21,'05 Cash In Transit'!E:E)</f>
        <v>0</v>
      </c>
      <c r="L21" t="str">
        <f>VLOOKUP(C21,'00 Summary'!D:D,1,0)</f>
        <v>5p Challenge</v>
      </c>
    </row>
    <row r="22" spans="1:12" x14ac:dyDescent="0.25">
      <c r="A22" s="3">
        <v>44154</v>
      </c>
      <c r="B22" t="s">
        <v>20</v>
      </c>
      <c r="C22" t="s">
        <v>20</v>
      </c>
      <c r="D22" t="s">
        <v>17</v>
      </c>
      <c r="G22" s="40">
        <v>309</v>
      </c>
      <c r="H22" s="4">
        <f t="shared" si="0"/>
        <v>856.76</v>
      </c>
      <c r="I22" s="1" t="s">
        <v>6</v>
      </c>
      <c r="J22" s="4" t="s">
        <v>96</v>
      </c>
      <c r="K22" s="4">
        <f>SUMIF(J:J,J22,G:G)-SUMIF(J:J,J22,F:F)+SUMIF('02 Bank'!H:H,'01 Income and Expenses'!J22,'02 Bank'!E:E)-SUMIF('02 Bank'!H:H,'01 Income and Expenses'!J22,'02 Bank'!F:F)+SUMIF('03 Petty Cash'!G:G,'01 Income and Expenses'!J22,'03 Petty Cash'!D:D)-SUMIF('03 Petty Cash'!G:G,'01 Income and Expenses'!J22,'03 Petty Cash'!E:E)+SUMIF('04 Uncleared Cheques'!G:G,'01 Income and Expenses'!J22,'04 Uncleared Cheques'!D:D)-SUMIF('04 Uncleared Cheques'!G:G,'01 Income and Expenses'!J22,'04 Uncleared Cheques'!E:E)+SUMIF('05 Cash In Transit'!G:G,'01 Income and Expenses'!J22,'05 Cash In Transit'!D:D)-SUMIF('05 Cash In Transit'!G:G,'01 Income and Expenses'!J22,'05 Cash In Transit'!E:E)</f>
        <v>0</v>
      </c>
      <c r="L22" t="str">
        <f>VLOOKUP(C22,'00 Summary'!D:D,1,0)</f>
        <v>Christmas Cards</v>
      </c>
    </row>
    <row r="23" spans="1:12" x14ac:dyDescent="0.25">
      <c r="A23" s="3">
        <v>44154</v>
      </c>
      <c r="B23" t="s">
        <v>20</v>
      </c>
      <c r="C23" t="s">
        <v>20</v>
      </c>
      <c r="D23" t="s">
        <v>14</v>
      </c>
      <c r="G23" s="40">
        <v>475.51</v>
      </c>
      <c r="H23" s="4">
        <f t="shared" si="0"/>
        <v>1332.27</v>
      </c>
      <c r="I23" s="1" t="s">
        <v>5</v>
      </c>
      <c r="J23" s="4" t="s">
        <v>97</v>
      </c>
      <c r="K23" s="4">
        <f>SUMIF(J:J,J23,G:G)-SUMIF(J:J,J23,F:F)+SUMIF('02 Bank'!H:H,'01 Income and Expenses'!J23,'02 Bank'!E:E)-SUMIF('02 Bank'!H:H,'01 Income and Expenses'!J23,'02 Bank'!F:F)+SUMIF('03 Petty Cash'!G:G,'01 Income and Expenses'!J23,'03 Petty Cash'!D:D)-SUMIF('03 Petty Cash'!G:G,'01 Income and Expenses'!J23,'03 Petty Cash'!E:E)+SUMIF('04 Uncleared Cheques'!G:G,'01 Income and Expenses'!J23,'04 Uncleared Cheques'!D:D)-SUMIF('04 Uncleared Cheques'!G:G,'01 Income and Expenses'!J23,'04 Uncleared Cheques'!E:E)+SUMIF('05 Cash In Transit'!G:G,'01 Income and Expenses'!J23,'05 Cash In Transit'!D:D)-SUMIF('05 Cash In Transit'!G:G,'01 Income and Expenses'!J23,'05 Cash In Transit'!E:E)</f>
        <v>0</v>
      </c>
      <c r="L23" t="str">
        <f>VLOOKUP(C23,'00 Summary'!D:D,1,0)</f>
        <v>Christmas Cards</v>
      </c>
    </row>
    <row r="24" spans="1:12" x14ac:dyDescent="0.25">
      <c r="A24" s="3">
        <v>44147</v>
      </c>
      <c r="B24" t="s">
        <v>98</v>
      </c>
      <c r="C24" t="s">
        <v>21</v>
      </c>
      <c r="D24" t="s">
        <v>14</v>
      </c>
      <c r="F24" s="4">
        <v>19.760000000000002</v>
      </c>
      <c r="H24" s="4">
        <f t="shared" si="0"/>
        <v>1312.51</v>
      </c>
      <c r="I24" s="1" t="s">
        <v>5</v>
      </c>
      <c r="J24" s="4" t="s">
        <v>99</v>
      </c>
      <c r="K24" s="4">
        <f>SUMIF(J:J,J24,G:G)-SUMIF(J:J,J24,F:F)+SUMIF('02 Bank'!H:H,'01 Income and Expenses'!J24,'02 Bank'!E:E)-SUMIF('02 Bank'!H:H,'01 Income and Expenses'!J24,'02 Bank'!F:F)+SUMIF('03 Petty Cash'!G:G,'01 Income and Expenses'!J24,'03 Petty Cash'!D:D)-SUMIF('03 Petty Cash'!G:G,'01 Income and Expenses'!J24,'03 Petty Cash'!E:E)+SUMIF('04 Uncleared Cheques'!G:G,'01 Income and Expenses'!J24,'04 Uncleared Cheques'!D:D)-SUMIF('04 Uncleared Cheques'!G:G,'01 Income and Expenses'!J24,'04 Uncleared Cheques'!E:E)+SUMIF('05 Cash In Transit'!G:G,'01 Income and Expenses'!J24,'05 Cash In Transit'!D:D)-SUMIF('05 Cash In Transit'!G:G,'01 Income and Expenses'!J24,'05 Cash In Transit'!E:E)</f>
        <v>0</v>
      </c>
      <c r="L24" t="str">
        <f>VLOOKUP(C24,'00 Summary'!D:D,1,0)</f>
        <v>Christmas Hamper</v>
      </c>
    </row>
    <row r="25" spans="1:12" x14ac:dyDescent="0.25">
      <c r="A25" s="3">
        <v>44147</v>
      </c>
      <c r="B25" t="s">
        <v>100</v>
      </c>
      <c r="C25" t="s">
        <v>40</v>
      </c>
      <c r="D25" t="s">
        <v>14</v>
      </c>
      <c r="F25" s="4">
        <v>60</v>
      </c>
      <c r="H25" s="4">
        <f t="shared" si="0"/>
        <v>1252.51</v>
      </c>
      <c r="I25" s="1" t="s">
        <v>5</v>
      </c>
      <c r="J25" s="4" t="s">
        <v>101</v>
      </c>
      <c r="K25" s="4">
        <f>SUMIF(J:J,J25,G:G)-SUMIF(J:J,J25,F:F)+SUMIF('02 Bank'!H:H,'01 Income and Expenses'!J25,'02 Bank'!E:E)-SUMIF('02 Bank'!H:H,'01 Income and Expenses'!J25,'02 Bank'!F:F)+SUMIF('03 Petty Cash'!G:G,'01 Income and Expenses'!J25,'03 Petty Cash'!D:D)-SUMIF('03 Petty Cash'!G:G,'01 Income and Expenses'!J25,'03 Petty Cash'!E:E)+SUMIF('04 Uncleared Cheques'!G:G,'01 Income and Expenses'!J25,'04 Uncleared Cheques'!D:D)-SUMIF('04 Uncleared Cheques'!G:G,'01 Income and Expenses'!J25,'04 Uncleared Cheques'!E:E)+SUMIF('05 Cash In Transit'!G:G,'01 Income and Expenses'!J25,'05 Cash In Transit'!D:D)-SUMIF('05 Cash In Transit'!G:G,'01 Income and Expenses'!J25,'05 Cash In Transit'!E:E)</f>
        <v>0</v>
      </c>
      <c r="L25" t="str">
        <f>VLOOKUP(C25,'00 Summary'!D:D,1,0)</f>
        <v>Circus</v>
      </c>
    </row>
    <row r="26" spans="1:12" x14ac:dyDescent="0.25">
      <c r="A26" s="3">
        <v>44159</v>
      </c>
      <c r="B26" t="s">
        <v>100</v>
      </c>
      <c r="C26" t="s">
        <v>40</v>
      </c>
      <c r="D26" t="s">
        <v>14</v>
      </c>
      <c r="F26" s="40">
        <f>10+15+40+60+50+10</f>
        <v>185</v>
      </c>
      <c r="H26" s="4">
        <f t="shared" si="0"/>
        <v>1067.51</v>
      </c>
      <c r="I26" s="1" t="s">
        <v>5</v>
      </c>
      <c r="J26" s="4" t="s">
        <v>102</v>
      </c>
      <c r="K26" s="4">
        <f>SUMIF(J:J,J26,G:G)-SUMIF(J:J,J26,F:F)+SUMIF('02 Bank'!H:H,'01 Income and Expenses'!J26,'02 Bank'!E:E)-SUMIF('02 Bank'!H:H,'01 Income and Expenses'!J26,'02 Bank'!F:F)+SUMIF('03 Petty Cash'!G:G,'01 Income and Expenses'!J26,'03 Petty Cash'!D:D)-SUMIF('03 Petty Cash'!G:G,'01 Income and Expenses'!J26,'03 Petty Cash'!E:E)+SUMIF('04 Uncleared Cheques'!G:G,'01 Income and Expenses'!J26,'04 Uncleared Cheques'!D:D)-SUMIF('04 Uncleared Cheques'!G:G,'01 Income and Expenses'!J26,'04 Uncleared Cheques'!E:E)+SUMIF('05 Cash In Transit'!G:G,'01 Income and Expenses'!J26,'05 Cash In Transit'!D:D)-SUMIF('05 Cash In Transit'!G:G,'01 Income and Expenses'!J26,'05 Cash In Transit'!E:E)</f>
        <v>0</v>
      </c>
      <c r="L26" t="str">
        <f>VLOOKUP(C26,'00 Summary'!D:D,1,0)</f>
        <v>Circus</v>
      </c>
    </row>
    <row r="27" spans="1:12" x14ac:dyDescent="0.25">
      <c r="A27" s="3">
        <v>44161</v>
      </c>
      <c r="B27" t="s">
        <v>105</v>
      </c>
      <c r="C27" t="s">
        <v>106</v>
      </c>
      <c r="D27" t="s">
        <v>14</v>
      </c>
      <c r="G27" s="40">
        <v>48.1</v>
      </c>
      <c r="H27" s="4">
        <f t="shared" si="0"/>
        <v>1115.6099999999999</v>
      </c>
      <c r="I27" s="1" t="s">
        <v>5</v>
      </c>
      <c r="J27" s="4" t="s">
        <v>103</v>
      </c>
      <c r="K27" s="4">
        <f>SUMIF(J:J,J27,G:G)-SUMIF(J:J,J27,F:F)+SUMIF('02 Bank'!H:H,'01 Income and Expenses'!J27,'02 Bank'!E:E)-SUMIF('02 Bank'!H:H,'01 Income and Expenses'!J27,'02 Bank'!F:F)+SUMIF('03 Petty Cash'!G:G,'01 Income and Expenses'!J27,'03 Petty Cash'!D:D)-SUMIF('03 Petty Cash'!G:G,'01 Income and Expenses'!J27,'03 Petty Cash'!E:E)+SUMIF('04 Uncleared Cheques'!G:G,'01 Income and Expenses'!J27,'04 Uncleared Cheques'!D:D)-SUMIF('04 Uncleared Cheques'!G:G,'01 Income and Expenses'!J27,'04 Uncleared Cheques'!E:E)+SUMIF('05 Cash In Transit'!G:G,'01 Income and Expenses'!J27,'05 Cash In Transit'!D:D)-SUMIF('05 Cash In Transit'!G:G,'01 Income and Expenses'!J27,'05 Cash In Transit'!E:E)</f>
        <v>0</v>
      </c>
      <c r="L27" t="str">
        <f>VLOOKUP(C27,'00 Summary'!D:D,1,0)</f>
        <v>Christmas Tree Decs</v>
      </c>
    </row>
    <row r="28" spans="1:12" x14ac:dyDescent="0.25">
      <c r="A28" s="3">
        <v>44161</v>
      </c>
      <c r="B28" t="s">
        <v>107</v>
      </c>
      <c r="C28" t="s">
        <v>106</v>
      </c>
      <c r="D28" t="s">
        <v>14</v>
      </c>
      <c r="F28" s="4">
        <v>27.92</v>
      </c>
      <c r="H28" s="4">
        <f t="shared" si="0"/>
        <v>1087.6899999999998</v>
      </c>
      <c r="I28" s="1" t="s">
        <v>5</v>
      </c>
      <c r="J28" s="4" t="s">
        <v>104</v>
      </c>
      <c r="K28" s="4">
        <f>SUMIF(J:J,J28,G:G)-SUMIF(J:J,J28,F:F)+SUMIF('02 Bank'!H:H,'01 Income and Expenses'!J28,'02 Bank'!E:E)-SUMIF('02 Bank'!H:H,'01 Income and Expenses'!J28,'02 Bank'!F:F)+SUMIF('03 Petty Cash'!G:G,'01 Income and Expenses'!J28,'03 Petty Cash'!D:D)-SUMIF('03 Petty Cash'!G:G,'01 Income and Expenses'!J28,'03 Petty Cash'!E:E)+SUMIF('04 Uncleared Cheques'!G:G,'01 Income and Expenses'!J28,'04 Uncleared Cheques'!D:D)-SUMIF('04 Uncleared Cheques'!G:G,'01 Income and Expenses'!J28,'04 Uncleared Cheques'!E:E)+SUMIF('05 Cash In Transit'!G:G,'01 Income and Expenses'!J28,'05 Cash In Transit'!D:D)-SUMIF('05 Cash In Transit'!G:G,'01 Income and Expenses'!J28,'05 Cash In Transit'!E:E)</f>
        <v>0</v>
      </c>
      <c r="L28" t="str">
        <f>VLOOKUP(C28,'00 Summary'!D:D,1,0)</f>
        <v>Christmas Tree Decs</v>
      </c>
    </row>
    <row r="29" spans="1:12" x14ac:dyDescent="0.25">
      <c r="A29" s="3">
        <v>44168</v>
      </c>
      <c r="B29" t="s">
        <v>100</v>
      </c>
      <c r="C29" t="s">
        <v>40</v>
      </c>
      <c r="D29" t="s">
        <v>14</v>
      </c>
      <c r="F29" s="4">
        <v>185</v>
      </c>
      <c r="H29" s="4">
        <f t="shared" si="0"/>
        <v>902.68999999999983</v>
      </c>
      <c r="I29" s="1" t="s">
        <v>5</v>
      </c>
      <c r="J29" s="4" t="s">
        <v>108</v>
      </c>
      <c r="K29" s="4">
        <f>SUMIF(J:J,J29,G:G)-SUMIF(J:J,J29,F:F)+SUMIF('02 Bank'!H:H,'01 Income and Expenses'!J29,'02 Bank'!E:E)-SUMIF('02 Bank'!H:H,'01 Income and Expenses'!J29,'02 Bank'!F:F)+SUMIF('03 Petty Cash'!G:G,'01 Income and Expenses'!J29,'03 Petty Cash'!D:D)-SUMIF('03 Petty Cash'!G:G,'01 Income and Expenses'!J29,'03 Petty Cash'!E:E)+SUMIF('04 Uncleared Cheques'!G:G,'01 Income and Expenses'!J29,'04 Uncleared Cheques'!D:D)-SUMIF('04 Uncleared Cheques'!G:G,'01 Income and Expenses'!J29,'04 Uncleared Cheques'!E:E)+SUMIF('05 Cash In Transit'!G:G,'01 Income and Expenses'!J29,'05 Cash In Transit'!D:D)-SUMIF('05 Cash In Transit'!G:G,'01 Income and Expenses'!J29,'05 Cash In Transit'!E:E)</f>
        <v>0</v>
      </c>
      <c r="L29" t="str">
        <f>VLOOKUP(C29,'00 Summary'!D:D,1,0)</f>
        <v>Circus</v>
      </c>
    </row>
    <row r="30" spans="1:12" x14ac:dyDescent="0.25">
      <c r="A30" s="3">
        <v>44172</v>
      </c>
      <c r="B30" t="s">
        <v>110</v>
      </c>
      <c r="C30" t="s">
        <v>20</v>
      </c>
      <c r="D30" t="s">
        <v>17</v>
      </c>
      <c r="F30" s="4">
        <v>487.8</v>
      </c>
      <c r="H30" s="4">
        <f t="shared" si="0"/>
        <v>414.88999999999982</v>
      </c>
      <c r="I30" s="1" t="s">
        <v>6</v>
      </c>
      <c r="J30" s="4" t="s">
        <v>129</v>
      </c>
      <c r="K30" s="4">
        <f>SUMIF(J:J,J30,G:G)-SUMIF(J:J,J30,F:F)+SUMIF('02 Bank'!H:H,'01 Income and Expenses'!J30,'02 Bank'!E:E)-SUMIF('02 Bank'!H:H,'01 Income and Expenses'!J30,'02 Bank'!F:F)+SUMIF('03 Petty Cash'!G:G,'01 Income and Expenses'!J30,'03 Petty Cash'!D:D)-SUMIF('03 Petty Cash'!G:G,'01 Income and Expenses'!J30,'03 Petty Cash'!E:E)+SUMIF('04 Uncleared Cheques'!G:G,'01 Income and Expenses'!J30,'04 Uncleared Cheques'!D:D)-SUMIF('04 Uncleared Cheques'!G:G,'01 Income and Expenses'!J30,'04 Uncleared Cheques'!E:E)+SUMIF('05 Cash In Transit'!G:G,'01 Income and Expenses'!J30,'05 Cash In Transit'!D:D)-SUMIF('05 Cash In Transit'!G:G,'01 Income and Expenses'!J30,'05 Cash In Transit'!E:E)</f>
        <v>0</v>
      </c>
      <c r="L30" t="str">
        <f>VLOOKUP(C30,'00 Summary'!D:D,1,0)</f>
        <v>Christmas Cards</v>
      </c>
    </row>
    <row r="31" spans="1:12" x14ac:dyDescent="0.25">
      <c r="A31" s="3">
        <v>44149</v>
      </c>
      <c r="B31" t="s">
        <v>111</v>
      </c>
      <c r="C31" t="s">
        <v>112</v>
      </c>
      <c r="D31" t="s">
        <v>17</v>
      </c>
      <c r="F31" s="4">
        <v>157</v>
      </c>
      <c r="H31" s="4">
        <f t="shared" si="0"/>
        <v>257.88999999999982</v>
      </c>
      <c r="I31" s="1" t="s">
        <v>6</v>
      </c>
      <c r="J31" s="4" t="s">
        <v>130</v>
      </c>
      <c r="K31" s="4">
        <f>SUMIF(J:J,J31,G:G)-SUMIF(J:J,J31,F:F)+SUMIF('02 Bank'!H:H,'01 Income and Expenses'!J31,'02 Bank'!E:E)-SUMIF('02 Bank'!H:H,'01 Income and Expenses'!J31,'02 Bank'!F:F)+SUMIF('03 Petty Cash'!G:G,'01 Income and Expenses'!J31,'03 Petty Cash'!D:D)-SUMIF('03 Petty Cash'!G:G,'01 Income and Expenses'!J31,'03 Petty Cash'!E:E)+SUMIF('04 Uncleared Cheques'!G:G,'01 Income and Expenses'!J31,'04 Uncleared Cheques'!D:D)-SUMIF('04 Uncleared Cheques'!G:G,'01 Income and Expenses'!J31,'04 Uncleared Cheques'!E:E)+SUMIF('05 Cash In Transit'!G:G,'01 Income and Expenses'!J31,'05 Cash In Transit'!D:D)-SUMIF('05 Cash In Transit'!G:G,'01 Income and Expenses'!J31,'05 Cash In Transit'!E:E)</f>
        <v>0</v>
      </c>
      <c r="L31" t="str">
        <f>VLOOKUP(C31,'00 Summary'!D:D,1,0)</f>
        <v>Christmas Party</v>
      </c>
    </row>
    <row r="32" spans="1:12" x14ac:dyDescent="0.25">
      <c r="A32" s="3">
        <v>44175</v>
      </c>
      <c r="B32" t="s">
        <v>100</v>
      </c>
      <c r="C32" t="s">
        <v>40</v>
      </c>
      <c r="D32" t="s">
        <v>14</v>
      </c>
      <c r="F32" s="4">
        <v>85</v>
      </c>
      <c r="H32" s="4">
        <f t="shared" si="0"/>
        <v>172.88999999999982</v>
      </c>
      <c r="I32" s="1" t="s">
        <v>5</v>
      </c>
      <c r="J32" s="4" t="s">
        <v>116</v>
      </c>
      <c r="K32" s="4">
        <f>SUMIF(J:J,J32,G:G)-SUMIF(J:J,J32,F:F)+SUMIF('02 Bank'!H:H,'01 Income and Expenses'!J32,'02 Bank'!E:E)-SUMIF('02 Bank'!H:H,'01 Income and Expenses'!J32,'02 Bank'!F:F)+SUMIF('03 Petty Cash'!G:G,'01 Income and Expenses'!J32,'03 Petty Cash'!D:D)-SUMIF('03 Petty Cash'!G:G,'01 Income and Expenses'!J32,'03 Petty Cash'!E:E)+SUMIF('04 Uncleared Cheques'!G:G,'01 Income and Expenses'!J32,'04 Uncleared Cheques'!D:D)-SUMIF('04 Uncleared Cheques'!G:G,'01 Income and Expenses'!J32,'04 Uncleared Cheques'!E:E)+SUMIF('05 Cash In Transit'!G:G,'01 Income and Expenses'!J32,'05 Cash In Transit'!D:D)-SUMIF('05 Cash In Transit'!G:G,'01 Income and Expenses'!J32,'05 Cash In Transit'!E:E)</f>
        <v>0</v>
      </c>
      <c r="L32" t="str">
        <f>VLOOKUP(C32,'00 Summary'!D:D,1,0)</f>
        <v>Circus</v>
      </c>
    </row>
    <row r="33" spans="1:12" x14ac:dyDescent="0.25">
      <c r="A33" s="3">
        <v>44182</v>
      </c>
      <c r="B33" t="s">
        <v>100</v>
      </c>
      <c r="C33" t="s">
        <v>40</v>
      </c>
      <c r="D33" t="s">
        <v>14</v>
      </c>
      <c r="F33" s="4">
        <v>60</v>
      </c>
      <c r="H33" s="4">
        <f t="shared" si="0"/>
        <v>112.88999999999982</v>
      </c>
      <c r="I33" s="1" t="s">
        <v>5</v>
      </c>
      <c r="J33" s="4" t="s">
        <v>117</v>
      </c>
      <c r="K33" s="4">
        <f>SUMIF(J:J,J33,G:G)-SUMIF(J:J,J33,F:F)+SUMIF('02 Bank'!H:H,'01 Income and Expenses'!J33,'02 Bank'!E:E)-SUMIF('02 Bank'!H:H,'01 Income and Expenses'!J33,'02 Bank'!F:F)+SUMIF('03 Petty Cash'!G:G,'01 Income and Expenses'!J33,'03 Petty Cash'!D:D)-SUMIF('03 Petty Cash'!G:G,'01 Income and Expenses'!J33,'03 Petty Cash'!E:E)+SUMIF('04 Uncleared Cheques'!G:G,'01 Income and Expenses'!J33,'04 Uncleared Cheques'!D:D)-SUMIF('04 Uncleared Cheques'!G:G,'01 Income and Expenses'!J33,'04 Uncleared Cheques'!E:E)+SUMIF('05 Cash In Transit'!G:G,'01 Income and Expenses'!J33,'05 Cash In Transit'!D:D)-SUMIF('05 Cash In Transit'!G:G,'01 Income and Expenses'!J33,'05 Cash In Transit'!E:E)</f>
        <v>0</v>
      </c>
      <c r="L33" t="str">
        <f>VLOOKUP(C33,'00 Summary'!D:D,1,0)</f>
        <v>Circus</v>
      </c>
    </row>
    <row r="34" spans="1:12" x14ac:dyDescent="0.25">
      <c r="A34" s="3">
        <v>44182</v>
      </c>
      <c r="B34" t="s">
        <v>118</v>
      </c>
      <c r="C34" t="s">
        <v>21</v>
      </c>
      <c r="D34" t="s">
        <v>14</v>
      </c>
      <c r="G34" s="40">
        <v>68</v>
      </c>
      <c r="H34" s="4">
        <f t="shared" si="0"/>
        <v>180.88999999999982</v>
      </c>
      <c r="I34" s="1" t="s">
        <v>5</v>
      </c>
      <c r="J34" s="4" t="s">
        <v>119</v>
      </c>
      <c r="K34" s="4">
        <f>SUMIF(J:J,J34,G:G)-SUMIF(J:J,J34,F:F)+SUMIF('02 Bank'!H:H,'01 Income and Expenses'!J34,'02 Bank'!E:E)-SUMIF('02 Bank'!H:H,'01 Income and Expenses'!J34,'02 Bank'!F:F)+SUMIF('03 Petty Cash'!G:G,'01 Income and Expenses'!J34,'03 Petty Cash'!D:D)-SUMIF('03 Petty Cash'!G:G,'01 Income and Expenses'!J34,'03 Petty Cash'!E:E)+SUMIF('04 Uncleared Cheques'!G:G,'01 Income and Expenses'!J34,'04 Uncleared Cheques'!D:D)-SUMIF('04 Uncleared Cheques'!G:G,'01 Income and Expenses'!J34,'04 Uncleared Cheques'!E:E)+SUMIF('05 Cash In Transit'!G:G,'01 Income and Expenses'!J34,'05 Cash In Transit'!D:D)-SUMIF('05 Cash In Transit'!G:G,'01 Income and Expenses'!J34,'05 Cash In Transit'!E:E)</f>
        <v>0</v>
      </c>
      <c r="L34" t="str">
        <f>VLOOKUP(C34,'00 Summary'!D:D,1,0)</f>
        <v>Christmas Hamper</v>
      </c>
    </row>
    <row r="35" spans="1:12" x14ac:dyDescent="0.25">
      <c r="A35" s="3">
        <v>44183</v>
      </c>
      <c r="B35" t="s">
        <v>120</v>
      </c>
      <c r="C35" t="s">
        <v>112</v>
      </c>
      <c r="D35" t="s">
        <v>14</v>
      </c>
      <c r="G35" s="40">
        <v>302.5</v>
      </c>
      <c r="H35" s="4">
        <f t="shared" si="0"/>
        <v>483.38999999999982</v>
      </c>
      <c r="I35" s="1" t="s">
        <v>5</v>
      </c>
      <c r="J35" s="4" t="s">
        <v>121</v>
      </c>
      <c r="K35" s="4">
        <f>SUMIF(J:J,J35,G:G)-SUMIF(J:J,J35,F:F)+SUMIF('02 Bank'!H:H,'01 Income and Expenses'!J35,'02 Bank'!E:E)-SUMIF('02 Bank'!H:H,'01 Income and Expenses'!J35,'02 Bank'!F:F)+SUMIF('03 Petty Cash'!G:G,'01 Income and Expenses'!J35,'03 Petty Cash'!D:D)-SUMIF('03 Petty Cash'!G:G,'01 Income and Expenses'!J35,'03 Petty Cash'!E:E)+SUMIF('04 Uncleared Cheques'!G:G,'01 Income and Expenses'!J35,'04 Uncleared Cheques'!D:D)-SUMIF('04 Uncleared Cheques'!G:G,'01 Income and Expenses'!J35,'04 Uncleared Cheques'!E:E)+SUMIF('05 Cash In Transit'!G:G,'01 Income and Expenses'!J35,'05 Cash In Transit'!D:D)-SUMIF('05 Cash In Transit'!G:G,'01 Income and Expenses'!J35,'05 Cash In Transit'!E:E)</f>
        <v>0</v>
      </c>
      <c r="L35" t="str">
        <f>VLOOKUP(C35,'00 Summary'!D:D,1,0)</f>
        <v>Christmas Party</v>
      </c>
    </row>
    <row r="36" spans="1:12" x14ac:dyDescent="0.25">
      <c r="A36" s="3">
        <v>43834</v>
      </c>
      <c r="B36" t="s">
        <v>100</v>
      </c>
      <c r="C36" t="s">
        <v>40</v>
      </c>
      <c r="D36" t="s">
        <v>14</v>
      </c>
      <c r="F36" s="4">
        <v>60</v>
      </c>
      <c r="H36" s="4">
        <f t="shared" si="0"/>
        <v>423.38999999999982</v>
      </c>
      <c r="I36" s="1" t="s">
        <v>5</v>
      </c>
      <c r="J36" s="4" t="s">
        <v>122</v>
      </c>
      <c r="K36" s="4">
        <f>SUMIF(J:J,J36,G:G)-SUMIF(J:J,J36,F:F)+SUMIF('02 Bank'!H:H,'01 Income and Expenses'!J36,'02 Bank'!E:E)-SUMIF('02 Bank'!H:H,'01 Income and Expenses'!J36,'02 Bank'!F:F)+SUMIF('03 Petty Cash'!G:G,'01 Income and Expenses'!J36,'03 Petty Cash'!D:D)-SUMIF('03 Petty Cash'!G:G,'01 Income and Expenses'!J36,'03 Petty Cash'!E:E)+SUMIF('04 Uncleared Cheques'!G:G,'01 Income and Expenses'!J36,'04 Uncleared Cheques'!D:D)-SUMIF('04 Uncleared Cheques'!G:G,'01 Income and Expenses'!J36,'04 Uncleared Cheques'!E:E)+SUMIF('05 Cash In Transit'!G:G,'01 Income and Expenses'!J36,'05 Cash In Transit'!D:D)-SUMIF('05 Cash In Transit'!G:G,'01 Income and Expenses'!J36,'05 Cash In Transit'!E:E)</f>
        <v>0</v>
      </c>
      <c r="L36" t="str">
        <f>VLOOKUP(C36,'00 Summary'!D:D,1,0)</f>
        <v>Circus</v>
      </c>
    </row>
    <row r="37" spans="1:12" x14ac:dyDescent="0.25">
      <c r="A37" s="3">
        <v>44175</v>
      </c>
      <c r="B37" t="s">
        <v>124</v>
      </c>
      <c r="C37" t="s">
        <v>124</v>
      </c>
      <c r="D37" t="s">
        <v>17</v>
      </c>
      <c r="F37" s="4">
        <v>48.26</v>
      </c>
      <c r="H37" s="4">
        <f t="shared" si="0"/>
        <v>375.12999999999982</v>
      </c>
      <c r="I37" s="1" t="s">
        <v>6</v>
      </c>
      <c r="J37" s="4" t="s">
        <v>131</v>
      </c>
      <c r="K37" s="4">
        <f>SUMIF(J:J,J37,G:G)-SUMIF(J:J,J37,F:F)+SUMIF('02 Bank'!H:H,'01 Income and Expenses'!J37,'02 Bank'!E:E)-SUMIF('02 Bank'!H:H,'01 Income and Expenses'!J37,'02 Bank'!F:F)+SUMIF('03 Petty Cash'!G:G,'01 Income and Expenses'!J37,'03 Petty Cash'!D:D)-SUMIF('03 Petty Cash'!G:G,'01 Income and Expenses'!J37,'03 Petty Cash'!E:E)+SUMIF('04 Uncleared Cheques'!G:G,'01 Income and Expenses'!J37,'04 Uncleared Cheques'!D:D)-SUMIF('04 Uncleared Cheques'!G:G,'01 Income and Expenses'!J37,'04 Uncleared Cheques'!E:E)+SUMIF('05 Cash In Transit'!G:G,'01 Income and Expenses'!J37,'05 Cash In Transit'!D:D)-SUMIF('05 Cash In Transit'!G:G,'01 Income and Expenses'!J37,'05 Cash In Transit'!E:E)</f>
        <v>0</v>
      </c>
      <c r="L37" t="str">
        <f>VLOOKUP(C37,'00 Summary'!D:D,1,0)</f>
        <v>Trophies</v>
      </c>
    </row>
    <row r="38" spans="1:12" x14ac:dyDescent="0.25">
      <c r="A38" s="3">
        <v>44175</v>
      </c>
      <c r="B38" t="s">
        <v>124</v>
      </c>
      <c r="C38" t="s">
        <v>124</v>
      </c>
      <c r="D38" t="s">
        <v>17</v>
      </c>
      <c r="F38" s="4">
        <v>93.5</v>
      </c>
      <c r="H38" s="4">
        <f t="shared" si="0"/>
        <v>281.62999999999982</v>
      </c>
      <c r="I38" s="1" t="s">
        <v>6</v>
      </c>
      <c r="J38" s="4" t="s">
        <v>132</v>
      </c>
      <c r="K38" s="4">
        <f>SUMIF(J:J,J38,G:G)-SUMIF(J:J,J38,F:F)+SUMIF('02 Bank'!H:H,'01 Income and Expenses'!J38,'02 Bank'!E:E)-SUMIF('02 Bank'!H:H,'01 Income and Expenses'!J38,'02 Bank'!F:F)+SUMIF('03 Petty Cash'!G:G,'01 Income and Expenses'!J38,'03 Petty Cash'!D:D)-SUMIF('03 Petty Cash'!G:G,'01 Income and Expenses'!J38,'03 Petty Cash'!E:E)+SUMIF('04 Uncleared Cheques'!G:G,'01 Income and Expenses'!J38,'04 Uncleared Cheques'!D:D)-SUMIF('04 Uncleared Cheques'!G:G,'01 Income and Expenses'!J38,'04 Uncleared Cheques'!E:E)+SUMIF('05 Cash In Transit'!G:G,'01 Income and Expenses'!J38,'05 Cash In Transit'!D:D)-SUMIF('05 Cash In Transit'!G:G,'01 Income and Expenses'!J38,'05 Cash In Transit'!E:E)</f>
        <v>0</v>
      </c>
      <c r="L38" t="str">
        <f>VLOOKUP(C38,'00 Summary'!D:D,1,0)</f>
        <v>Trophies</v>
      </c>
    </row>
    <row r="39" spans="1:12" x14ac:dyDescent="0.25">
      <c r="A39" s="3">
        <v>44175</v>
      </c>
      <c r="B39" t="s">
        <v>125</v>
      </c>
      <c r="C39" t="s">
        <v>126</v>
      </c>
      <c r="D39" t="s">
        <v>17</v>
      </c>
      <c r="F39" s="4">
        <v>161.29</v>
      </c>
      <c r="H39" s="4">
        <f t="shared" si="0"/>
        <v>120.33999999999983</v>
      </c>
      <c r="I39" s="1" t="s">
        <v>6</v>
      </c>
      <c r="J39" s="4" t="s">
        <v>133</v>
      </c>
      <c r="K39" s="4">
        <f>SUMIF(J:J,J39,G:G)-SUMIF(J:J,J39,F:F)+SUMIF('02 Bank'!H:H,'01 Income and Expenses'!J39,'02 Bank'!E:E)-SUMIF('02 Bank'!H:H,'01 Income and Expenses'!J39,'02 Bank'!F:F)+SUMIF('03 Petty Cash'!G:G,'01 Income and Expenses'!J39,'03 Petty Cash'!D:D)-SUMIF('03 Petty Cash'!G:G,'01 Income and Expenses'!J39,'03 Petty Cash'!E:E)+SUMIF('04 Uncleared Cheques'!G:G,'01 Income and Expenses'!J39,'04 Uncleared Cheques'!D:D)-SUMIF('04 Uncleared Cheques'!G:G,'01 Income and Expenses'!J39,'04 Uncleared Cheques'!E:E)+SUMIF('05 Cash In Transit'!G:G,'01 Income and Expenses'!J39,'05 Cash In Transit'!D:D)-SUMIF('05 Cash In Transit'!G:G,'01 Income and Expenses'!J39,'05 Cash In Transit'!E:E)</f>
        <v>0</v>
      </c>
      <c r="L39" t="str">
        <f>VLOOKUP(C39,'00 Summary'!D:D,1,0)</f>
        <v>EY Storage</v>
      </c>
    </row>
    <row r="40" spans="1:12" x14ac:dyDescent="0.25">
      <c r="A40" s="3">
        <v>44217</v>
      </c>
      <c r="B40" t="s">
        <v>134</v>
      </c>
      <c r="C40" t="s">
        <v>22</v>
      </c>
      <c r="D40" t="s">
        <v>17</v>
      </c>
      <c r="F40" s="4">
        <v>116</v>
      </c>
      <c r="H40" s="4">
        <f t="shared" si="0"/>
        <v>4.3399999999998329</v>
      </c>
      <c r="I40" s="1" t="s">
        <v>6</v>
      </c>
      <c r="J40" s="4" t="s">
        <v>136</v>
      </c>
      <c r="K40" s="4">
        <f>SUMIF(J:J,J40,G:G)-SUMIF(J:J,J40,F:F)+SUMIF('02 Bank'!H:H,'01 Income and Expenses'!J40,'02 Bank'!E:E)-SUMIF('02 Bank'!H:H,'01 Income and Expenses'!J40,'02 Bank'!F:F)+SUMIF('03 Petty Cash'!G:G,'01 Income and Expenses'!J40,'03 Petty Cash'!D:D)-SUMIF('03 Petty Cash'!G:G,'01 Income and Expenses'!J40,'03 Petty Cash'!E:E)+SUMIF('04 Uncleared Cheques'!G:G,'01 Income and Expenses'!J40,'04 Uncleared Cheques'!D:D)-SUMIF('04 Uncleared Cheques'!G:G,'01 Income and Expenses'!J40,'04 Uncleared Cheques'!E:E)+SUMIF('05 Cash In Transit'!G:G,'01 Income and Expenses'!J40,'05 Cash In Transit'!D:D)-SUMIF('05 Cash In Transit'!G:G,'01 Income and Expenses'!J40,'05 Cash In Transit'!E:E)</f>
        <v>0</v>
      </c>
      <c r="L40" t="str">
        <f>VLOOKUP(C40,'00 Summary'!D:D,1,0)</f>
        <v>Parent Kind</v>
      </c>
    </row>
    <row r="41" spans="1:12" x14ac:dyDescent="0.25">
      <c r="A41" s="3">
        <v>44225</v>
      </c>
      <c r="B41" t="s">
        <v>70</v>
      </c>
      <c r="C41" t="s">
        <v>70</v>
      </c>
      <c r="D41" t="s">
        <v>17</v>
      </c>
      <c r="G41" s="86">
        <v>217.8</v>
      </c>
      <c r="H41" s="4">
        <f t="shared" si="0"/>
        <v>222.13999999999984</v>
      </c>
      <c r="I41" s="1" t="s">
        <v>6</v>
      </c>
      <c r="J41" s="81" t="s">
        <v>162</v>
      </c>
      <c r="K41" s="4">
        <f>SUMIF(J:J,J41,G:G)-SUMIF(J:J,J41,F:F)+SUMIF('02 Bank'!H:H,'01 Income and Expenses'!J41,'02 Bank'!E:E)-SUMIF('02 Bank'!H:H,'01 Income and Expenses'!J41,'02 Bank'!F:F)+SUMIF('03 Petty Cash'!G:G,'01 Income and Expenses'!J41,'03 Petty Cash'!D:D)-SUMIF('03 Petty Cash'!G:G,'01 Income and Expenses'!J41,'03 Petty Cash'!E:E)+SUMIF('04 Uncleared Cheques'!G:G,'01 Income and Expenses'!J41,'04 Uncleared Cheques'!D:D)-SUMIF('04 Uncleared Cheques'!G:G,'01 Income and Expenses'!J41,'04 Uncleared Cheques'!E:E)+SUMIF('05 Cash In Transit'!G:G,'01 Income and Expenses'!J41,'05 Cash In Transit'!D:D)-SUMIF('05 Cash In Transit'!G:G,'01 Income and Expenses'!J41,'05 Cash In Transit'!E:E)</f>
        <v>0</v>
      </c>
      <c r="L41" t="str">
        <f>VLOOKUP(C41,'00 Summary'!D:D,1,0)</f>
        <v>Bags to School</v>
      </c>
    </row>
    <row r="42" spans="1:12" x14ac:dyDescent="0.25">
      <c r="A42" s="3">
        <v>43865</v>
      </c>
      <c r="B42" t="s">
        <v>137</v>
      </c>
      <c r="C42" t="s">
        <v>174</v>
      </c>
      <c r="D42" t="s">
        <v>17</v>
      </c>
      <c r="G42" s="40">
        <v>500</v>
      </c>
      <c r="H42" s="4">
        <f t="shared" si="0"/>
        <v>722.13999999999987</v>
      </c>
      <c r="I42" s="1" t="s">
        <v>6</v>
      </c>
      <c r="J42" s="4" t="s">
        <v>165</v>
      </c>
      <c r="K42" s="4">
        <f>SUMIF(J:J,J42,G:G)-SUMIF(J:J,J42,F:F)+SUMIF('02 Bank'!H:H,'01 Income and Expenses'!J42,'02 Bank'!E:E)-SUMIF('02 Bank'!H:H,'01 Income and Expenses'!J42,'02 Bank'!F:F)+SUMIF('03 Petty Cash'!G:G,'01 Income and Expenses'!J42,'03 Petty Cash'!D:D)-SUMIF('03 Petty Cash'!G:G,'01 Income and Expenses'!J42,'03 Petty Cash'!E:E)+SUMIF('04 Uncleared Cheques'!G:G,'01 Income and Expenses'!J42,'04 Uncleared Cheques'!D:D)-SUMIF('04 Uncleared Cheques'!G:G,'01 Income and Expenses'!J42,'04 Uncleared Cheques'!E:E)+SUMIF('05 Cash In Transit'!G:G,'01 Income and Expenses'!J42,'05 Cash In Transit'!D:D)-SUMIF('05 Cash In Transit'!G:G,'01 Income and Expenses'!J42,'05 Cash In Transit'!E:E)</f>
        <v>0</v>
      </c>
      <c r="L42" t="str">
        <f>VLOOKUP(C42,'00 Summary'!D:D,1,0)</f>
        <v>Donations</v>
      </c>
    </row>
    <row r="43" spans="1:12" x14ac:dyDescent="0.25">
      <c r="A43" s="3">
        <v>43865</v>
      </c>
      <c r="B43" t="s">
        <v>138</v>
      </c>
      <c r="C43" t="s">
        <v>174</v>
      </c>
      <c r="D43" t="s">
        <v>17</v>
      </c>
      <c r="G43" s="40">
        <v>400</v>
      </c>
      <c r="H43" s="4">
        <f t="shared" si="0"/>
        <v>1122.1399999999999</v>
      </c>
      <c r="I43" s="1" t="s">
        <v>6</v>
      </c>
      <c r="J43" s="1" t="s">
        <v>178</v>
      </c>
      <c r="K43" s="4">
        <f>SUMIF(J:J,J43,G:G)-SUMIF(J:J,J43,F:F)+SUMIF('02 Bank'!H:H,'01 Income and Expenses'!J43,'02 Bank'!E:E)-SUMIF('02 Bank'!H:H,'01 Income and Expenses'!J43,'02 Bank'!F:F)+SUMIF('03 Petty Cash'!G:G,'01 Income and Expenses'!J43,'03 Petty Cash'!D:D)-SUMIF('03 Petty Cash'!G:G,'01 Income and Expenses'!J43,'03 Petty Cash'!E:E)+SUMIF('04 Uncleared Cheques'!G:G,'01 Income and Expenses'!J43,'04 Uncleared Cheques'!D:D)-SUMIF('04 Uncleared Cheques'!G:G,'01 Income and Expenses'!J43,'04 Uncleared Cheques'!E:E)+SUMIF('05 Cash In Transit'!G:G,'01 Income and Expenses'!J43,'05 Cash In Transit'!D:D)-SUMIF('05 Cash In Transit'!G:G,'01 Income and Expenses'!J43,'05 Cash In Transit'!E:E)</f>
        <v>0</v>
      </c>
      <c r="L43" t="str">
        <f>VLOOKUP(C43,'00 Summary'!D:D,1,0)</f>
        <v>Donations</v>
      </c>
    </row>
    <row r="44" spans="1:12" x14ac:dyDescent="0.25">
      <c r="A44" s="3">
        <v>44231</v>
      </c>
      <c r="B44" t="s">
        <v>139</v>
      </c>
      <c r="C44" t="s">
        <v>174</v>
      </c>
      <c r="D44" t="s">
        <v>14</v>
      </c>
      <c r="G44" s="40">
        <v>100</v>
      </c>
      <c r="H44" s="4">
        <f t="shared" si="0"/>
        <v>1222.1399999999999</v>
      </c>
      <c r="I44" s="1" t="s">
        <v>6</v>
      </c>
      <c r="J44" s="1" t="s">
        <v>182</v>
      </c>
      <c r="K44" s="4">
        <f>SUMIF(J:J,J44,G:G)-SUMIF(J:J,J44,F:F)+SUMIF('02 Bank'!H:H,'01 Income and Expenses'!J44,'02 Bank'!E:E)-SUMIF('02 Bank'!H:H,'01 Income and Expenses'!J44,'02 Bank'!F:F)+SUMIF('03 Petty Cash'!G:G,'01 Income and Expenses'!J44,'03 Petty Cash'!D:D)-SUMIF('03 Petty Cash'!G:G,'01 Income and Expenses'!J44,'03 Petty Cash'!E:E)+SUMIF('04 Uncleared Cheques'!G:G,'01 Income and Expenses'!J44,'04 Uncleared Cheques'!D:D)-SUMIF('04 Uncleared Cheques'!G:G,'01 Income and Expenses'!J44,'04 Uncleared Cheques'!E:E)+SUMIF('05 Cash In Transit'!G:G,'01 Income and Expenses'!J44,'05 Cash In Transit'!D:D)-SUMIF('05 Cash In Transit'!G:G,'01 Income and Expenses'!J44,'05 Cash In Transit'!E:E)</f>
        <v>0</v>
      </c>
      <c r="L44" t="str">
        <f>VLOOKUP(C44,'00 Summary'!D:D,1,0)</f>
        <v>Donations</v>
      </c>
    </row>
    <row r="45" spans="1:12" x14ac:dyDescent="0.25">
      <c r="A45" s="3">
        <v>43901</v>
      </c>
      <c r="B45" t="s">
        <v>146</v>
      </c>
      <c r="C45" t="s">
        <v>153</v>
      </c>
      <c r="D45" t="s">
        <v>17</v>
      </c>
      <c r="F45" s="40">
        <v>168.3</v>
      </c>
      <c r="H45" s="4">
        <f t="shared" si="0"/>
        <v>1053.8399999999999</v>
      </c>
      <c r="I45" s="1" t="s">
        <v>6</v>
      </c>
      <c r="J45" s="1" t="s">
        <v>166</v>
      </c>
      <c r="K45" s="4">
        <f>SUMIF(J:J,J45,G:G)-SUMIF(J:J,J45,F:F)+SUMIF('02 Bank'!H:H,'01 Income and Expenses'!J45,'02 Bank'!E:E)-SUMIF('02 Bank'!H:H,'01 Income and Expenses'!J45,'02 Bank'!F:F)+SUMIF('03 Petty Cash'!G:G,'01 Income and Expenses'!J45,'03 Petty Cash'!D:D)-SUMIF('03 Petty Cash'!G:G,'01 Income and Expenses'!J45,'03 Petty Cash'!E:E)+SUMIF('04 Uncleared Cheques'!G:G,'01 Income and Expenses'!J45,'04 Uncleared Cheques'!D:D)-SUMIF('04 Uncleared Cheques'!G:G,'01 Income and Expenses'!J45,'04 Uncleared Cheques'!E:E)+SUMIF('05 Cash In Transit'!G:G,'01 Income and Expenses'!J45,'05 Cash In Transit'!D:D)-SUMIF('05 Cash In Transit'!G:G,'01 Income and Expenses'!J45,'05 Cash In Transit'!E:E)</f>
        <v>0</v>
      </c>
      <c r="L45" t="str">
        <f>VLOOKUP(C45,'00 Summary'!D:D,1,0)</f>
        <v>Easter Eggs</v>
      </c>
    </row>
    <row r="46" spans="1:12" x14ac:dyDescent="0.25">
      <c r="A46" s="3">
        <v>43901</v>
      </c>
      <c r="B46" t="s">
        <v>148</v>
      </c>
      <c r="C46" t="s">
        <v>35</v>
      </c>
      <c r="D46" t="s">
        <v>17</v>
      </c>
      <c r="F46" s="40">
        <v>500</v>
      </c>
      <c r="H46" s="4">
        <f t="shared" si="0"/>
        <v>553.83999999999992</v>
      </c>
      <c r="I46" s="1" t="s">
        <v>6</v>
      </c>
      <c r="J46" s="1" t="s">
        <v>167</v>
      </c>
      <c r="K46" s="4">
        <f>SUMIF(J:J,J46,G:G)-SUMIF(J:J,J46,F:F)+SUMIF('02 Bank'!H:H,'01 Income and Expenses'!J46,'02 Bank'!E:E)-SUMIF('02 Bank'!H:H,'01 Income and Expenses'!J46,'02 Bank'!F:F)+SUMIF('03 Petty Cash'!G:G,'01 Income and Expenses'!J46,'03 Petty Cash'!D:D)-SUMIF('03 Petty Cash'!G:G,'01 Income and Expenses'!J46,'03 Petty Cash'!E:E)+SUMIF('04 Uncleared Cheques'!G:G,'01 Income and Expenses'!J46,'04 Uncleared Cheques'!D:D)-SUMIF('04 Uncleared Cheques'!G:G,'01 Income and Expenses'!J46,'04 Uncleared Cheques'!E:E)+SUMIF('05 Cash In Transit'!G:G,'01 Income and Expenses'!J46,'05 Cash In Transit'!D:D)-SUMIF('05 Cash In Transit'!G:G,'01 Income and Expenses'!J46,'05 Cash In Transit'!E:E)</f>
        <v>0</v>
      </c>
      <c r="L46" t="str">
        <f>VLOOKUP(C46,'00 Summary'!D:D,1,0)</f>
        <v>Car Park</v>
      </c>
    </row>
    <row r="47" spans="1:12" x14ac:dyDescent="0.25">
      <c r="A47" s="3">
        <v>43906</v>
      </c>
      <c r="B47" t="s">
        <v>150</v>
      </c>
      <c r="C47" t="s">
        <v>154</v>
      </c>
      <c r="D47" t="s">
        <v>17</v>
      </c>
      <c r="F47" s="40">
        <v>318.75</v>
      </c>
      <c r="H47" s="4">
        <f t="shared" si="0"/>
        <v>235.08999999999992</v>
      </c>
      <c r="I47" s="1" t="s">
        <v>6</v>
      </c>
      <c r="J47" s="1" t="s">
        <v>168</v>
      </c>
      <c r="K47" s="4">
        <f>SUMIF(J:J,J47,G:G)-SUMIF(J:J,J47,F:F)+SUMIF('02 Bank'!H:H,'01 Income and Expenses'!J47,'02 Bank'!E:E)-SUMIF('02 Bank'!H:H,'01 Income and Expenses'!J47,'02 Bank'!F:F)+SUMIF('03 Petty Cash'!G:G,'01 Income and Expenses'!J47,'03 Petty Cash'!D:D)-SUMIF('03 Petty Cash'!G:G,'01 Income and Expenses'!J47,'03 Petty Cash'!E:E)+SUMIF('04 Uncleared Cheques'!G:G,'01 Income and Expenses'!J47,'04 Uncleared Cheques'!D:D)-SUMIF('04 Uncleared Cheques'!G:G,'01 Income and Expenses'!J47,'04 Uncleared Cheques'!E:E)+SUMIF('05 Cash In Transit'!G:G,'01 Income and Expenses'!J47,'05 Cash In Transit'!D:D)-SUMIF('05 Cash In Transit'!G:G,'01 Income and Expenses'!J47,'05 Cash In Transit'!E:E)</f>
        <v>0</v>
      </c>
      <c r="L47" t="str">
        <f>VLOOKUP(C47,'00 Summary'!D:D,1,0)</f>
        <v>Music Equipment</v>
      </c>
    </row>
    <row r="48" spans="1:12" x14ac:dyDescent="0.25">
      <c r="A48" s="3">
        <v>43906</v>
      </c>
      <c r="B48" t="s">
        <v>152</v>
      </c>
      <c r="C48" t="s">
        <v>41</v>
      </c>
      <c r="D48" t="s">
        <v>17</v>
      </c>
      <c r="F48" s="40">
        <v>217</v>
      </c>
      <c r="H48" s="4">
        <f t="shared" si="0"/>
        <v>18.089999999999918</v>
      </c>
      <c r="I48" s="1" t="s">
        <v>6</v>
      </c>
      <c r="J48" s="1" t="s">
        <v>172</v>
      </c>
      <c r="K48" s="4">
        <f>SUMIF(J:J,J48,G:G)-SUMIF(J:J,J48,F:F)+SUMIF('02 Bank'!H:H,'01 Income and Expenses'!J48,'02 Bank'!E:E)-SUMIF('02 Bank'!H:H,'01 Income and Expenses'!J48,'02 Bank'!F:F)+SUMIF('03 Petty Cash'!G:G,'01 Income and Expenses'!J48,'03 Petty Cash'!D:D)-SUMIF('03 Petty Cash'!G:G,'01 Income and Expenses'!J48,'03 Petty Cash'!E:E)+SUMIF('04 Uncleared Cheques'!G:G,'01 Income and Expenses'!J48,'04 Uncleared Cheques'!D:D)-SUMIF('04 Uncleared Cheques'!G:G,'01 Income and Expenses'!J48,'04 Uncleared Cheques'!E:E)+SUMIF('05 Cash In Transit'!G:G,'01 Income and Expenses'!J48,'05 Cash In Transit'!D:D)-SUMIF('05 Cash In Transit'!G:G,'01 Income and Expenses'!J48,'05 Cash In Transit'!E:E)</f>
        <v>0</v>
      </c>
      <c r="L48" t="str">
        <f>VLOOKUP(C48,'00 Summary'!D:D,1,0)</f>
        <v>Y4 Anglo Saxon</v>
      </c>
    </row>
    <row r="49" spans="1:12" x14ac:dyDescent="0.25">
      <c r="A49" s="3">
        <v>44262</v>
      </c>
      <c r="B49" t="s">
        <v>100</v>
      </c>
      <c r="C49" t="s">
        <v>40</v>
      </c>
      <c r="D49" t="s">
        <v>14</v>
      </c>
      <c r="F49" s="4">
        <f>75+24.5</f>
        <v>99.5</v>
      </c>
      <c r="H49" s="4">
        <f t="shared" ref="H49:H65" si="1">G49-F49+H48</f>
        <v>-81.410000000000082</v>
      </c>
      <c r="I49" s="1" t="s">
        <v>5</v>
      </c>
      <c r="J49" s="4" t="s">
        <v>140</v>
      </c>
      <c r="K49" s="4">
        <f>SUMIF(J:J,J49,G:G)-SUMIF(J:J,J49,F:F)+SUMIF('02 Bank'!H:H,'01 Income and Expenses'!J49,'02 Bank'!E:E)-SUMIF('02 Bank'!H:H,'01 Income and Expenses'!J49,'02 Bank'!F:F)+SUMIF('03 Petty Cash'!G:G,'01 Income and Expenses'!J49,'03 Petty Cash'!D:D)-SUMIF('03 Petty Cash'!G:G,'01 Income and Expenses'!J49,'03 Petty Cash'!E:E)+SUMIF('04 Uncleared Cheques'!G:G,'01 Income and Expenses'!J49,'04 Uncleared Cheques'!D:D)-SUMIF('04 Uncleared Cheques'!G:G,'01 Income and Expenses'!J49,'04 Uncleared Cheques'!E:E)+SUMIF('05 Cash In Transit'!G:G,'01 Income and Expenses'!J49,'05 Cash In Transit'!D:D)-SUMIF('05 Cash In Transit'!G:G,'01 Income and Expenses'!J49,'05 Cash In Transit'!E:E)</f>
        <v>0</v>
      </c>
      <c r="L49" t="str">
        <f>VLOOKUP(C49,'00 Summary'!D:D,1,0)</f>
        <v>Circus</v>
      </c>
    </row>
    <row r="50" spans="1:12" x14ac:dyDescent="0.25">
      <c r="A50" s="3">
        <v>44289</v>
      </c>
      <c r="B50" t="s">
        <v>156</v>
      </c>
      <c r="C50" t="s">
        <v>56</v>
      </c>
      <c r="D50" t="s">
        <v>14</v>
      </c>
      <c r="G50" s="40">
        <v>97</v>
      </c>
      <c r="H50" s="4">
        <f t="shared" si="1"/>
        <v>15.589999999999918</v>
      </c>
      <c r="I50" s="1" t="s">
        <v>5</v>
      </c>
      <c r="J50" s="4" t="s">
        <v>142</v>
      </c>
      <c r="K50" s="4">
        <f>SUMIF(J:J,J50,G:G)-SUMIF(J:J,J50,F:F)+SUMIF('02 Bank'!H:H,'01 Income and Expenses'!J50,'02 Bank'!E:E)-SUMIF('02 Bank'!H:H,'01 Income and Expenses'!J50,'02 Bank'!F:F)+SUMIF('03 Petty Cash'!G:G,'01 Income and Expenses'!J50,'03 Petty Cash'!D:D)-SUMIF('03 Petty Cash'!G:G,'01 Income and Expenses'!J50,'03 Petty Cash'!E:E)+SUMIF('04 Uncleared Cheques'!G:G,'01 Income and Expenses'!J50,'04 Uncleared Cheques'!D:D)-SUMIF('04 Uncleared Cheques'!G:G,'01 Income and Expenses'!J50,'04 Uncleared Cheques'!E:E)+SUMIF('05 Cash In Transit'!G:G,'01 Income and Expenses'!J50,'05 Cash In Transit'!D:D)-SUMIF('05 Cash In Transit'!G:G,'01 Income and Expenses'!J50,'05 Cash In Transit'!E:E)</f>
        <v>0</v>
      </c>
      <c r="L50" t="str">
        <f>VLOOKUP(C50,'00 Summary'!D:D,1,0)</f>
        <v>Easter Hamper</v>
      </c>
    </row>
    <row r="51" spans="1:12" x14ac:dyDescent="0.25">
      <c r="A51" s="3">
        <v>44274</v>
      </c>
      <c r="B51" t="s">
        <v>158</v>
      </c>
      <c r="C51" t="s">
        <v>56</v>
      </c>
      <c r="D51" t="s">
        <v>14</v>
      </c>
      <c r="E51" s="4"/>
      <c r="F51" s="4">
        <v>19.920000000000002</v>
      </c>
      <c r="H51" s="4">
        <f t="shared" si="1"/>
        <v>-4.3300000000000836</v>
      </c>
      <c r="I51" s="1" t="s">
        <v>5</v>
      </c>
      <c r="J51" s="4" t="s">
        <v>157</v>
      </c>
      <c r="K51" s="4">
        <f>SUMIF(J:J,J51,G:G)-SUMIF(J:J,J51,F:F)+SUMIF('02 Bank'!H:H,'01 Income and Expenses'!J51,'02 Bank'!E:E)-SUMIF('02 Bank'!H:H,'01 Income and Expenses'!J51,'02 Bank'!F:F)+SUMIF('03 Petty Cash'!G:G,'01 Income and Expenses'!J51,'03 Petty Cash'!D:D)-SUMIF('03 Petty Cash'!G:G,'01 Income and Expenses'!J51,'03 Petty Cash'!E:E)+SUMIF('04 Uncleared Cheques'!G:G,'01 Income and Expenses'!J51,'04 Uncleared Cheques'!D:D)-SUMIF('04 Uncleared Cheques'!G:G,'01 Income and Expenses'!J51,'04 Uncleared Cheques'!E:E)+SUMIF('05 Cash In Transit'!G:G,'01 Income and Expenses'!J51,'05 Cash In Transit'!D:D)-SUMIF('05 Cash In Transit'!G:G,'01 Income and Expenses'!J51,'05 Cash In Transit'!E:E)</f>
        <v>0</v>
      </c>
      <c r="L51" t="str">
        <f>VLOOKUP(C51,'00 Summary'!D:D,1,0)</f>
        <v>Easter Hamper</v>
      </c>
    </row>
    <row r="52" spans="1:12" x14ac:dyDescent="0.25">
      <c r="A52" s="3">
        <v>44289</v>
      </c>
      <c r="B52" t="s">
        <v>160</v>
      </c>
      <c r="C52" t="s">
        <v>38</v>
      </c>
      <c r="D52" t="s">
        <v>14</v>
      </c>
      <c r="F52" s="4">
        <v>30</v>
      </c>
      <c r="H52" s="4">
        <f t="shared" si="1"/>
        <v>-34.330000000000084</v>
      </c>
      <c r="I52" s="1" t="s">
        <v>5</v>
      </c>
      <c r="J52" s="4" t="s">
        <v>159</v>
      </c>
      <c r="K52" s="4">
        <f>SUMIF(J:J,J52,G:G)-SUMIF(J:J,J52,F:F)+SUMIF('02 Bank'!H:H,'01 Income and Expenses'!J52,'02 Bank'!E:E)-SUMIF('02 Bank'!H:H,'01 Income and Expenses'!J52,'02 Bank'!F:F)+SUMIF('03 Petty Cash'!G:G,'01 Income and Expenses'!J52,'03 Petty Cash'!D:D)-SUMIF('03 Petty Cash'!G:G,'01 Income and Expenses'!J52,'03 Petty Cash'!E:E)+SUMIF('04 Uncleared Cheques'!G:G,'01 Income and Expenses'!J52,'04 Uncleared Cheques'!D:D)-SUMIF('04 Uncleared Cheques'!G:G,'01 Income and Expenses'!J52,'04 Uncleared Cheques'!E:E)+SUMIF('05 Cash In Transit'!G:G,'01 Income and Expenses'!J52,'05 Cash In Transit'!D:D)-SUMIF('05 Cash In Transit'!G:G,'01 Income and Expenses'!J52,'05 Cash In Transit'!E:E)</f>
        <v>0</v>
      </c>
      <c r="L52" t="str">
        <f>VLOOKUP(C52,'00 Summary'!D:D,1,0)</f>
        <v>Other Expenses</v>
      </c>
    </row>
    <row r="53" spans="1:12" x14ac:dyDescent="0.25">
      <c r="A53" s="3">
        <v>44308</v>
      </c>
      <c r="B53" t="s">
        <v>70</v>
      </c>
      <c r="C53" t="s">
        <v>70</v>
      </c>
      <c r="D53" t="s">
        <v>17</v>
      </c>
      <c r="E53" s="4"/>
      <c r="G53" s="40">
        <v>148.19999999999999</v>
      </c>
      <c r="H53" s="4">
        <f t="shared" si="1"/>
        <v>113.86999999999991</v>
      </c>
      <c r="I53" s="1" t="s">
        <v>6</v>
      </c>
      <c r="J53" s="1" t="s">
        <v>177</v>
      </c>
      <c r="K53" s="4">
        <f>SUMIF(J:J,J53,G:G)-SUMIF(J:J,J53,F:F)+SUMIF('02 Bank'!H:H,'01 Income and Expenses'!J53,'02 Bank'!E:E)-SUMIF('02 Bank'!H:H,'01 Income and Expenses'!J53,'02 Bank'!F:F)+SUMIF('03 Petty Cash'!G:G,'01 Income and Expenses'!J53,'03 Petty Cash'!D:D)-SUMIF('03 Petty Cash'!G:G,'01 Income and Expenses'!J53,'03 Petty Cash'!E:E)+SUMIF('04 Uncleared Cheques'!G:G,'01 Income and Expenses'!J53,'04 Uncleared Cheques'!D:D)-SUMIF('04 Uncleared Cheques'!G:G,'01 Income and Expenses'!J53,'04 Uncleared Cheques'!E:E)+SUMIF('05 Cash In Transit'!G:G,'01 Income and Expenses'!J53,'05 Cash In Transit'!D:D)-SUMIF('05 Cash In Transit'!G:G,'01 Income and Expenses'!J53,'05 Cash In Transit'!E:E)</f>
        <v>0</v>
      </c>
      <c r="L53" t="str">
        <f>VLOOKUP(C53,'00 Summary'!D:D,1,0)</f>
        <v>Bags to School</v>
      </c>
    </row>
    <row r="54" spans="1:12" x14ac:dyDescent="0.25">
      <c r="A54" s="3">
        <v>44238</v>
      </c>
      <c r="B54" t="s">
        <v>169</v>
      </c>
      <c r="C54" t="s">
        <v>170</v>
      </c>
      <c r="D54" t="s">
        <v>171</v>
      </c>
      <c r="G54" s="40">
        <v>22.77</v>
      </c>
      <c r="H54" s="4">
        <f t="shared" si="1"/>
        <v>136.6399999999999</v>
      </c>
      <c r="I54" s="1" t="s">
        <v>6</v>
      </c>
      <c r="J54" s="1" t="s">
        <v>163</v>
      </c>
      <c r="K54" s="4">
        <f>SUMIF(J:J,J54,G:G)-SUMIF(J:J,J54,F:F)+SUMIF('02 Bank'!H:H,'01 Income and Expenses'!J54,'02 Bank'!E:E)-SUMIF('02 Bank'!H:H,'01 Income and Expenses'!J54,'02 Bank'!F:F)+SUMIF('03 Petty Cash'!G:G,'01 Income and Expenses'!J54,'03 Petty Cash'!D:D)-SUMIF('03 Petty Cash'!G:G,'01 Income and Expenses'!J54,'03 Petty Cash'!E:E)+SUMIF('04 Uncleared Cheques'!G:G,'01 Income and Expenses'!J54,'04 Uncleared Cheques'!D:D)-SUMIF('04 Uncleared Cheques'!G:G,'01 Income and Expenses'!J54,'04 Uncleared Cheques'!E:E)+SUMIF('05 Cash In Transit'!G:G,'01 Income and Expenses'!J54,'05 Cash In Transit'!D:D)-SUMIF('05 Cash In Transit'!G:G,'01 Income and Expenses'!J54,'05 Cash In Transit'!E:E)</f>
        <v>0</v>
      </c>
      <c r="L54" t="str">
        <f>VLOOKUP(C54,'00 Summary'!D:D,1,0)</f>
        <v>Amazon</v>
      </c>
    </row>
    <row r="55" spans="1:12" x14ac:dyDescent="0.25">
      <c r="A55" s="3">
        <v>44343</v>
      </c>
      <c r="B55" t="s">
        <v>175</v>
      </c>
      <c r="C55" t="s">
        <v>175</v>
      </c>
      <c r="D55" t="s">
        <v>14</v>
      </c>
      <c r="G55" s="40">
        <v>350.9</v>
      </c>
      <c r="H55" s="4">
        <f t="shared" si="1"/>
        <v>487.53999999999985</v>
      </c>
      <c r="I55" s="1" t="s">
        <v>5</v>
      </c>
      <c r="J55" s="4" t="s">
        <v>161</v>
      </c>
      <c r="K55" s="4">
        <f>SUMIF(J:J,J55,G:G)-SUMIF(J:J,J55,F:F)+SUMIF('02 Bank'!H:H,'01 Income and Expenses'!J55,'02 Bank'!E:E)-SUMIF('02 Bank'!H:H,'01 Income and Expenses'!J55,'02 Bank'!F:F)+SUMIF('03 Petty Cash'!G:G,'01 Income and Expenses'!J55,'03 Petty Cash'!D:D)-SUMIF('03 Petty Cash'!G:G,'01 Income and Expenses'!J55,'03 Petty Cash'!E:E)+SUMIF('04 Uncleared Cheques'!G:G,'01 Income and Expenses'!J55,'04 Uncleared Cheques'!D:D)-SUMIF('04 Uncleared Cheques'!G:G,'01 Income and Expenses'!J55,'04 Uncleared Cheques'!E:E)+SUMIF('05 Cash In Transit'!G:G,'01 Income and Expenses'!J55,'05 Cash In Transit'!D:D)-SUMIF('05 Cash In Transit'!G:G,'01 Income and Expenses'!J55,'05 Cash In Transit'!E:E)</f>
        <v>0</v>
      </c>
      <c r="L55" t="str">
        <f>VLOOKUP(C55,'00 Summary'!D:D,1,0)</f>
        <v>Break the Rules Day</v>
      </c>
    </row>
    <row r="56" spans="1:12" x14ac:dyDescent="0.25">
      <c r="A56" s="3">
        <v>44340</v>
      </c>
      <c r="B56" t="s">
        <v>169</v>
      </c>
      <c r="C56" t="s">
        <v>170</v>
      </c>
      <c r="D56" t="s">
        <v>171</v>
      </c>
      <c r="G56" s="40">
        <v>10.69</v>
      </c>
      <c r="H56" s="4">
        <f t="shared" si="1"/>
        <v>498.22999999999985</v>
      </c>
      <c r="I56" s="1" t="s">
        <v>6</v>
      </c>
      <c r="J56" s="4" t="s">
        <v>183</v>
      </c>
      <c r="K56" s="4">
        <f>SUMIF(J:J,J56,G:G)-SUMIF(J:J,J56,F:F)+SUMIF('02 Bank'!H:H,'01 Income and Expenses'!J56,'02 Bank'!E:E)-SUMIF('02 Bank'!H:H,'01 Income and Expenses'!J56,'02 Bank'!F:F)+SUMIF('03 Petty Cash'!G:G,'01 Income and Expenses'!J56,'03 Petty Cash'!D:D)-SUMIF('03 Petty Cash'!G:G,'01 Income and Expenses'!J56,'03 Petty Cash'!E:E)+SUMIF('04 Uncleared Cheques'!G:G,'01 Income and Expenses'!J56,'04 Uncleared Cheques'!D:D)-SUMIF('04 Uncleared Cheques'!G:G,'01 Income and Expenses'!J56,'04 Uncleared Cheques'!E:E)+SUMIF('05 Cash In Transit'!G:G,'01 Income and Expenses'!J56,'05 Cash In Transit'!D:D)-SUMIF('05 Cash In Transit'!G:G,'01 Income and Expenses'!J56,'05 Cash In Transit'!E:E)</f>
        <v>0</v>
      </c>
      <c r="L56" t="str">
        <f>VLOOKUP(C56,'00 Summary'!D:D,1,0)</f>
        <v>Amazon</v>
      </c>
    </row>
    <row r="57" spans="1:12" x14ac:dyDescent="0.25">
      <c r="A57" s="3">
        <v>44383</v>
      </c>
      <c r="B57" t="s">
        <v>184</v>
      </c>
      <c r="C57" t="s">
        <v>188</v>
      </c>
      <c r="D57" t="s">
        <v>17</v>
      </c>
      <c r="G57" s="40">
        <v>181.39</v>
      </c>
      <c r="H57" s="4">
        <f t="shared" si="1"/>
        <v>679.61999999999989</v>
      </c>
      <c r="I57" s="1" t="s">
        <v>6</v>
      </c>
      <c r="J57" s="4" t="s">
        <v>200</v>
      </c>
      <c r="K57" s="4">
        <f>SUMIF(J:J,J57,G:G)-SUMIF(J:J,J57,F:F)+SUMIF('02 Bank'!H:H,'01 Income and Expenses'!J57,'02 Bank'!E:E)-SUMIF('02 Bank'!H:H,'01 Income and Expenses'!J57,'02 Bank'!F:F)+SUMIF('03 Petty Cash'!G:G,'01 Income and Expenses'!J57,'03 Petty Cash'!D:D)-SUMIF('03 Petty Cash'!G:G,'01 Income and Expenses'!J57,'03 Petty Cash'!E:E)+SUMIF('04 Uncleared Cheques'!G:G,'01 Income and Expenses'!J57,'04 Uncleared Cheques'!D:D)-SUMIF('04 Uncleared Cheques'!G:G,'01 Income and Expenses'!J57,'04 Uncleared Cheques'!E:E)+SUMIF('05 Cash In Transit'!G:G,'01 Income and Expenses'!J57,'05 Cash In Transit'!D:D)-SUMIF('05 Cash In Transit'!G:G,'01 Income and Expenses'!J57,'05 Cash In Transit'!E:E)</f>
        <v>0</v>
      </c>
      <c r="L57" t="str">
        <f>VLOOKUP(C57,'00 Summary'!D:D,1,0)</f>
        <v>Father's Day</v>
      </c>
    </row>
    <row r="58" spans="1:12" x14ac:dyDescent="0.25">
      <c r="A58" s="3">
        <v>44357</v>
      </c>
      <c r="B58" t="s">
        <v>141</v>
      </c>
      <c r="C58" t="s">
        <v>141</v>
      </c>
      <c r="D58" t="s">
        <v>17</v>
      </c>
      <c r="F58" s="4">
        <v>1741.41</v>
      </c>
      <c r="H58" s="4">
        <f t="shared" si="1"/>
        <v>-1061.7900000000002</v>
      </c>
      <c r="I58" s="1" t="s">
        <v>6</v>
      </c>
      <c r="J58" s="1" t="s">
        <v>204</v>
      </c>
      <c r="K58" s="4">
        <f>SUMIF(J:J,J58,G:G)-SUMIF(J:J,J58,F:F)+SUMIF('02 Bank'!H:H,'01 Income and Expenses'!J58,'02 Bank'!E:E)-SUMIF('02 Bank'!H:H,'01 Income and Expenses'!J58,'02 Bank'!F:F)+SUMIF('03 Petty Cash'!G:G,'01 Income and Expenses'!J58,'03 Petty Cash'!D:D)-SUMIF('03 Petty Cash'!G:G,'01 Income and Expenses'!J58,'03 Petty Cash'!E:E)+SUMIF('04 Uncleared Cheques'!G:G,'01 Income and Expenses'!J58,'04 Uncleared Cheques'!D:D)-SUMIF('04 Uncleared Cheques'!G:G,'01 Income and Expenses'!J58,'04 Uncleared Cheques'!E:E)+SUMIF('05 Cash In Transit'!G:G,'01 Income and Expenses'!J58,'05 Cash In Transit'!D:D)-SUMIF('05 Cash In Transit'!G:G,'01 Income and Expenses'!J58,'05 Cash In Transit'!E:E)</f>
        <v>0</v>
      </c>
      <c r="L58" t="str">
        <f>VLOOKUP(C58,'00 Summary'!D:D,1,0)</f>
        <v>Sports Kit</v>
      </c>
    </row>
    <row r="59" spans="1:12" x14ac:dyDescent="0.25">
      <c r="A59" s="3">
        <v>44357</v>
      </c>
      <c r="B59" t="s">
        <v>186</v>
      </c>
      <c r="C59" t="s">
        <v>141</v>
      </c>
      <c r="D59" t="s">
        <v>17</v>
      </c>
      <c r="E59" s="4"/>
      <c r="F59" s="4">
        <v>88</v>
      </c>
      <c r="H59" s="4">
        <f t="shared" si="1"/>
        <v>-1149.7900000000002</v>
      </c>
      <c r="I59" s="1" t="s">
        <v>6</v>
      </c>
      <c r="J59" s="1" t="s">
        <v>204</v>
      </c>
      <c r="K59" s="4">
        <f>SUMIF(J:J,J59,G:G)-SUMIF(J:J,J59,F:F)+SUMIF('02 Bank'!H:H,'01 Income and Expenses'!J59,'02 Bank'!E:E)-SUMIF('02 Bank'!H:H,'01 Income and Expenses'!J59,'02 Bank'!F:F)+SUMIF('03 Petty Cash'!G:G,'01 Income and Expenses'!J59,'03 Petty Cash'!D:D)-SUMIF('03 Petty Cash'!G:G,'01 Income and Expenses'!J59,'03 Petty Cash'!E:E)+SUMIF('04 Uncleared Cheques'!G:G,'01 Income and Expenses'!J59,'04 Uncleared Cheques'!D:D)-SUMIF('04 Uncleared Cheques'!G:G,'01 Income and Expenses'!J59,'04 Uncleared Cheques'!E:E)+SUMIF('05 Cash In Transit'!G:G,'01 Income and Expenses'!J59,'05 Cash In Transit'!D:D)-SUMIF('05 Cash In Transit'!G:G,'01 Income and Expenses'!J59,'05 Cash In Transit'!E:E)</f>
        <v>0</v>
      </c>
      <c r="L59" t="str">
        <f>VLOOKUP(C59,'00 Summary'!D:D,1,0)</f>
        <v>Sports Kit</v>
      </c>
    </row>
    <row r="60" spans="1:12" x14ac:dyDescent="0.25">
      <c r="A60" s="3">
        <v>44357</v>
      </c>
      <c r="B60" t="s">
        <v>187</v>
      </c>
      <c r="C60" t="s">
        <v>44</v>
      </c>
      <c r="D60" t="s">
        <v>17</v>
      </c>
      <c r="E60" s="4"/>
      <c r="F60" s="4">
        <v>493.5</v>
      </c>
      <c r="H60" s="4">
        <f t="shared" si="1"/>
        <v>-1643.2900000000002</v>
      </c>
      <c r="I60" s="1" t="s">
        <v>6</v>
      </c>
      <c r="J60" s="1" t="s">
        <v>204</v>
      </c>
      <c r="K60" s="4">
        <f>SUMIF(J:J,J60,G:G)-SUMIF(J:J,J60,F:F)+SUMIF('02 Bank'!H:H,'01 Income and Expenses'!J60,'02 Bank'!E:E)-SUMIF('02 Bank'!H:H,'01 Income and Expenses'!J60,'02 Bank'!F:F)+SUMIF('03 Petty Cash'!G:G,'01 Income and Expenses'!J60,'03 Petty Cash'!D:D)-SUMIF('03 Petty Cash'!G:G,'01 Income and Expenses'!J60,'03 Petty Cash'!E:E)+SUMIF('04 Uncleared Cheques'!G:G,'01 Income and Expenses'!J60,'04 Uncleared Cheques'!D:D)-SUMIF('04 Uncleared Cheques'!G:G,'01 Income and Expenses'!J60,'04 Uncleared Cheques'!E:E)+SUMIF('05 Cash In Transit'!G:G,'01 Income and Expenses'!J60,'05 Cash In Transit'!D:D)-SUMIF('05 Cash In Transit'!G:G,'01 Income and Expenses'!J60,'05 Cash In Transit'!E:E)</f>
        <v>0</v>
      </c>
      <c r="L60" t="str">
        <f>VLOOKUP(C60,'00 Summary'!D:D,1,0)</f>
        <v>Y6 Leaving</v>
      </c>
    </row>
    <row r="61" spans="1:12" x14ac:dyDescent="0.25">
      <c r="A61" s="3">
        <v>44357</v>
      </c>
      <c r="B61" t="s">
        <v>190</v>
      </c>
      <c r="C61" t="s">
        <v>190</v>
      </c>
      <c r="D61" t="s">
        <v>17</v>
      </c>
      <c r="E61" s="4"/>
      <c r="F61" s="4">
        <v>118.5</v>
      </c>
      <c r="H61" s="4">
        <f t="shared" si="1"/>
        <v>-1761.7900000000002</v>
      </c>
      <c r="I61" s="1" t="s">
        <v>6</v>
      </c>
      <c r="J61" s="1" t="s">
        <v>202</v>
      </c>
      <c r="K61" s="4">
        <f>SUMIF(J:J,J61,G:G)-SUMIF(J:J,J61,F:F)+SUMIF('02 Bank'!H:H,'01 Income and Expenses'!J61,'02 Bank'!E:E)-SUMIF('02 Bank'!H:H,'01 Income and Expenses'!J61,'02 Bank'!F:F)+SUMIF('03 Petty Cash'!G:G,'01 Income and Expenses'!J61,'03 Petty Cash'!D:D)-SUMIF('03 Petty Cash'!G:G,'01 Income and Expenses'!J61,'03 Petty Cash'!E:E)+SUMIF('04 Uncleared Cheques'!G:G,'01 Income and Expenses'!J61,'04 Uncleared Cheques'!D:D)-SUMIF('04 Uncleared Cheques'!G:G,'01 Income and Expenses'!J61,'04 Uncleared Cheques'!E:E)+SUMIF('05 Cash In Transit'!G:G,'01 Income and Expenses'!J61,'05 Cash In Transit'!D:D)-SUMIF('05 Cash In Transit'!G:G,'01 Income and Expenses'!J61,'05 Cash In Transit'!E:E)</f>
        <v>0</v>
      </c>
      <c r="L61" t="str">
        <f>VLOOKUP(C61,'00 Summary'!D:D,1,0)</f>
        <v>EY Music Player</v>
      </c>
    </row>
    <row r="62" spans="1:12" x14ac:dyDescent="0.25">
      <c r="A62" s="3">
        <v>44357</v>
      </c>
      <c r="B62" t="s">
        <v>173</v>
      </c>
      <c r="C62" t="s">
        <v>173</v>
      </c>
      <c r="D62" t="s">
        <v>17</v>
      </c>
      <c r="E62" s="4"/>
      <c r="F62" s="4">
        <v>300</v>
      </c>
      <c r="H62" s="4">
        <f t="shared" si="1"/>
        <v>-2061.79</v>
      </c>
      <c r="I62" s="1" t="s">
        <v>6</v>
      </c>
      <c r="J62" s="1" t="s">
        <v>201</v>
      </c>
      <c r="K62" s="4">
        <f>SUMIF(J:J,J62,G:G)-SUMIF(J:J,J62,F:F)+SUMIF('02 Bank'!H:H,'01 Income and Expenses'!J62,'02 Bank'!E:E)-SUMIF('02 Bank'!H:H,'01 Income and Expenses'!J62,'02 Bank'!F:F)+SUMIF('03 Petty Cash'!G:G,'01 Income and Expenses'!J62,'03 Petty Cash'!D:D)-SUMIF('03 Petty Cash'!G:G,'01 Income and Expenses'!J62,'03 Petty Cash'!E:E)+SUMIF('04 Uncleared Cheques'!G:G,'01 Income and Expenses'!J62,'04 Uncleared Cheques'!D:D)-SUMIF('04 Uncleared Cheques'!G:G,'01 Income and Expenses'!J62,'04 Uncleared Cheques'!E:E)+SUMIF('05 Cash In Transit'!G:G,'01 Income and Expenses'!J62,'05 Cash In Transit'!D:D)-SUMIF('05 Cash In Transit'!G:G,'01 Income and Expenses'!J62,'05 Cash In Transit'!E:E)</f>
        <v>0</v>
      </c>
      <c r="L62" t="str">
        <f>VLOOKUP(C62,'00 Summary'!D:D,1,0)</f>
        <v>Y1 Planetarium</v>
      </c>
    </row>
    <row r="63" spans="1:12" x14ac:dyDescent="0.25">
      <c r="A63" s="3">
        <v>44364</v>
      </c>
      <c r="B63" t="s">
        <v>42</v>
      </c>
      <c r="C63" t="s">
        <v>42</v>
      </c>
      <c r="D63" t="s">
        <v>17</v>
      </c>
      <c r="E63" s="4"/>
      <c r="F63" s="4">
        <v>217</v>
      </c>
      <c r="H63" s="4">
        <f t="shared" si="1"/>
        <v>-2278.79</v>
      </c>
      <c r="I63" s="1" t="s">
        <v>6</v>
      </c>
      <c r="J63" s="1" t="s">
        <v>203</v>
      </c>
      <c r="K63" s="4">
        <f>SUMIF(J:J,J63,G:G)-SUMIF(J:J,J63,F:F)+SUMIF('02 Bank'!H:H,'01 Income and Expenses'!J63,'02 Bank'!E:E)-SUMIF('02 Bank'!H:H,'01 Income and Expenses'!J63,'02 Bank'!F:F)+SUMIF('03 Petty Cash'!G:G,'01 Income and Expenses'!J63,'03 Petty Cash'!D:D)-SUMIF('03 Petty Cash'!G:G,'01 Income and Expenses'!J63,'03 Petty Cash'!E:E)+SUMIF('04 Uncleared Cheques'!G:G,'01 Income and Expenses'!J63,'04 Uncleared Cheques'!D:D)-SUMIF('04 Uncleared Cheques'!G:G,'01 Income and Expenses'!J63,'04 Uncleared Cheques'!E:E)+SUMIF('05 Cash In Transit'!G:G,'01 Income and Expenses'!J63,'05 Cash In Transit'!D:D)-SUMIF('05 Cash In Transit'!G:G,'01 Income and Expenses'!J63,'05 Cash In Transit'!E:E)</f>
        <v>0</v>
      </c>
      <c r="L63" t="str">
        <f>VLOOKUP(C63,'00 Summary'!D:D,1,0)</f>
        <v>Y5 Greek</v>
      </c>
    </row>
    <row r="64" spans="1:12" x14ac:dyDescent="0.25">
      <c r="A64" s="3">
        <v>44364</v>
      </c>
      <c r="B64" t="s">
        <v>48</v>
      </c>
      <c r="C64" t="s">
        <v>48</v>
      </c>
      <c r="D64" t="s">
        <v>17</v>
      </c>
      <c r="E64" s="4"/>
      <c r="F64" s="4">
        <v>330</v>
      </c>
      <c r="H64" s="4">
        <f t="shared" si="1"/>
        <v>-2608.79</v>
      </c>
      <c r="I64" s="1" t="s">
        <v>6</v>
      </c>
      <c r="J64" s="1" t="s">
        <v>205</v>
      </c>
      <c r="K64" s="4">
        <f>SUMIF(J:J,J64,G:G)-SUMIF(J:J,J64,F:F)+SUMIF('02 Bank'!H:H,'01 Income and Expenses'!J64,'02 Bank'!E:E)-SUMIF('02 Bank'!H:H,'01 Income and Expenses'!J64,'02 Bank'!F:F)+SUMIF('03 Petty Cash'!G:G,'01 Income and Expenses'!J64,'03 Petty Cash'!D:D)-SUMIF('03 Petty Cash'!G:G,'01 Income and Expenses'!J64,'03 Petty Cash'!E:E)+SUMIF('04 Uncleared Cheques'!G:G,'01 Income and Expenses'!J64,'04 Uncleared Cheques'!D:D)-SUMIF('04 Uncleared Cheques'!G:G,'01 Income and Expenses'!J64,'04 Uncleared Cheques'!E:E)+SUMIF('05 Cash In Transit'!G:G,'01 Income and Expenses'!J64,'05 Cash In Transit'!D:D)-SUMIF('05 Cash In Transit'!G:G,'01 Income and Expenses'!J64,'05 Cash In Transit'!E:E)</f>
        <v>0</v>
      </c>
      <c r="L64" t="str">
        <f>VLOOKUP(C64,'00 Summary'!D:D,1,0)</f>
        <v>Y2 Great Fire of London</v>
      </c>
    </row>
    <row r="65" spans="1:12" x14ac:dyDescent="0.25">
      <c r="A65" s="3">
        <v>44400</v>
      </c>
      <c r="B65" t="s">
        <v>207</v>
      </c>
      <c r="C65" t="s">
        <v>207</v>
      </c>
      <c r="D65" t="s">
        <v>14</v>
      </c>
      <c r="G65" s="4">
        <v>174.6</v>
      </c>
      <c r="H65" s="4">
        <f t="shared" si="1"/>
        <v>-2434.19</v>
      </c>
      <c r="I65" s="1" t="s">
        <v>6</v>
      </c>
      <c r="J65" s="1" t="s">
        <v>206</v>
      </c>
      <c r="K65" s="4">
        <f>SUMIF(J:J,J65,G:G)-SUMIF(J:J,J65,F:F)+SUMIF('02 Bank'!H:H,'01 Income and Expenses'!J65,'02 Bank'!E:E)-SUMIF('02 Bank'!H:H,'01 Income and Expenses'!J65,'02 Bank'!F:F)+SUMIF('03 Petty Cash'!G:G,'01 Income and Expenses'!J65,'03 Petty Cash'!D:D)-SUMIF('03 Petty Cash'!G:G,'01 Income and Expenses'!J65,'03 Petty Cash'!E:E)+SUMIF('04 Uncleared Cheques'!G:G,'01 Income and Expenses'!J65,'04 Uncleared Cheques'!D:D)-SUMIF('04 Uncleared Cheques'!G:G,'01 Income and Expenses'!J65,'04 Uncleared Cheques'!E:E)+SUMIF('05 Cash In Transit'!G:G,'01 Income and Expenses'!J65,'05 Cash In Transit'!D:D)-SUMIF('05 Cash In Transit'!G:G,'01 Income and Expenses'!J65,'05 Cash In Transit'!E:E)</f>
        <v>0</v>
      </c>
      <c r="L65" t="str">
        <f>VLOOKUP(C65,'00 Summary'!D:D,1,0)</f>
        <v>Headteacher Day</v>
      </c>
    </row>
    <row r="66" spans="1:12" x14ac:dyDescent="0.25">
      <c r="A66" s="3">
        <v>44394</v>
      </c>
      <c r="B66" t="s">
        <v>209</v>
      </c>
      <c r="C66" t="s">
        <v>85</v>
      </c>
      <c r="D66" t="s">
        <v>14</v>
      </c>
      <c r="F66" s="4">
        <v>18.25</v>
      </c>
      <c r="H66" s="4">
        <f t="shared" ref="H66:H75" si="2">G66-F66+H65</f>
        <v>-2452.44</v>
      </c>
      <c r="I66" s="1" t="s">
        <v>5</v>
      </c>
      <c r="J66" s="4" t="s">
        <v>176</v>
      </c>
      <c r="K66" s="4">
        <f>SUMIF(J:J,J66,G:G)-SUMIF(J:J,J66,F:F)+SUMIF('02 Bank'!H:H,'01 Income and Expenses'!J66,'02 Bank'!E:E)-SUMIF('02 Bank'!H:H,'01 Income and Expenses'!J66,'02 Bank'!F:F)+SUMIF('03 Petty Cash'!G:G,'01 Income and Expenses'!J66,'03 Petty Cash'!D:D)-SUMIF('03 Petty Cash'!G:G,'01 Income and Expenses'!J66,'03 Petty Cash'!E:E)+SUMIF('04 Uncleared Cheques'!G:G,'01 Income and Expenses'!J66,'04 Uncleared Cheques'!D:D)-SUMIF('04 Uncleared Cheques'!G:G,'01 Income and Expenses'!J66,'04 Uncleared Cheques'!E:E)+SUMIF('05 Cash In Transit'!G:G,'01 Income and Expenses'!J66,'05 Cash In Transit'!D:D)-SUMIF('05 Cash In Transit'!G:G,'01 Income and Expenses'!J66,'05 Cash In Transit'!E:E)</f>
        <v>0</v>
      </c>
      <c r="L66" t="str">
        <f>VLOOKUP(C66,'00 Summary'!D:D,1,0)</f>
        <v>5p Challenge</v>
      </c>
    </row>
    <row r="67" spans="1:12" x14ac:dyDescent="0.25">
      <c r="A67" s="3">
        <v>44398</v>
      </c>
      <c r="B67" t="s">
        <v>212</v>
      </c>
      <c r="C67" t="s">
        <v>44</v>
      </c>
      <c r="D67" t="s">
        <v>14</v>
      </c>
      <c r="F67" s="4">
        <v>32</v>
      </c>
      <c r="H67" s="4">
        <f t="shared" si="2"/>
        <v>-2484.44</v>
      </c>
      <c r="I67" s="1" t="s">
        <v>5</v>
      </c>
      <c r="J67" s="4" t="s">
        <v>210</v>
      </c>
      <c r="K67" s="4">
        <f>SUMIF(J:J,J67,G:G)-SUMIF(J:J,J67,F:F)+SUMIF('02 Bank'!H:H,'01 Income and Expenses'!J67,'02 Bank'!E:E)-SUMIF('02 Bank'!H:H,'01 Income and Expenses'!J67,'02 Bank'!F:F)+SUMIF('03 Petty Cash'!G:G,'01 Income and Expenses'!J67,'03 Petty Cash'!D:D)-SUMIF('03 Petty Cash'!G:G,'01 Income and Expenses'!J67,'03 Petty Cash'!E:E)+SUMIF('04 Uncleared Cheques'!G:G,'01 Income and Expenses'!J67,'04 Uncleared Cheques'!D:D)-SUMIF('04 Uncleared Cheques'!G:G,'01 Income and Expenses'!J67,'04 Uncleared Cheques'!E:E)+SUMIF('05 Cash In Transit'!G:G,'01 Income and Expenses'!J67,'05 Cash In Transit'!D:D)-SUMIF('05 Cash In Transit'!G:G,'01 Income and Expenses'!J67,'05 Cash In Transit'!E:E)</f>
        <v>0</v>
      </c>
      <c r="L67" t="str">
        <f>VLOOKUP(C67,'00 Summary'!D:D,1,0)</f>
        <v>Y6 Leaving</v>
      </c>
    </row>
    <row r="68" spans="1:12" x14ac:dyDescent="0.25">
      <c r="A68" s="3">
        <v>44425</v>
      </c>
      <c r="B68" t="s">
        <v>169</v>
      </c>
      <c r="C68" t="s">
        <v>170</v>
      </c>
      <c r="D68" t="s">
        <v>171</v>
      </c>
      <c r="G68" s="4">
        <v>14.29</v>
      </c>
      <c r="H68" s="4">
        <f t="shared" si="2"/>
        <v>-2470.15</v>
      </c>
      <c r="I68" s="1" t="s">
        <v>6</v>
      </c>
      <c r="J68" s="1" t="s">
        <v>208</v>
      </c>
      <c r="K68" s="4">
        <f>SUMIF(J:J,J68,G:G)-SUMIF(J:J,J68,F:F)+SUMIF('02 Bank'!H:H,'01 Income and Expenses'!J68,'02 Bank'!E:E)-SUMIF('02 Bank'!H:H,'01 Income and Expenses'!J68,'02 Bank'!F:F)+SUMIF('03 Petty Cash'!G:G,'01 Income and Expenses'!J68,'03 Petty Cash'!D:D)-SUMIF('03 Petty Cash'!G:G,'01 Income and Expenses'!J68,'03 Petty Cash'!E:E)+SUMIF('04 Uncleared Cheques'!G:G,'01 Income and Expenses'!J68,'04 Uncleared Cheques'!D:D)-SUMIF('04 Uncleared Cheques'!G:G,'01 Income and Expenses'!J68,'04 Uncleared Cheques'!E:E)+SUMIF('05 Cash In Transit'!G:G,'01 Income and Expenses'!J68,'05 Cash In Transit'!D:D)-SUMIF('05 Cash In Transit'!G:G,'01 Income and Expenses'!J68,'05 Cash In Transit'!E:E)</f>
        <v>0</v>
      </c>
      <c r="L68" t="str">
        <f>VLOOKUP(C68,'00 Summary'!D:D,1,0)</f>
        <v>Amazon</v>
      </c>
    </row>
    <row r="69" spans="1:12" x14ac:dyDescent="0.25">
      <c r="A69" s="3">
        <v>44431</v>
      </c>
      <c r="B69" t="s">
        <v>213</v>
      </c>
      <c r="C69" t="s">
        <v>221</v>
      </c>
      <c r="D69" t="s">
        <v>171</v>
      </c>
      <c r="G69" s="4">
        <v>60</v>
      </c>
      <c r="H69" s="4">
        <f t="shared" si="2"/>
        <v>-2410.15</v>
      </c>
      <c r="I69" s="1" t="s">
        <v>6</v>
      </c>
      <c r="J69" s="1" t="s">
        <v>214</v>
      </c>
      <c r="K69" s="4">
        <f>SUMIF(J:J,J69,G:G)-SUMIF(J:J,J69,F:F)+SUMIF('02 Bank'!H:H,'01 Income and Expenses'!J69,'02 Bank'!E:E)-SUMIF('02 Bank'!H:H,'01 Income and Expenses'!J69,'02 Bank'!F:F)+SUMIF('03 Petty Cash'!G:G,'01 Income and Expenses'!J69,'03 Petty Cash'!D:D)-SUMIF('03 Petty Cash'!G:G,'01 Income and Expenses'!J69,'03 Petty Cash'!E:E)+SUMIF('04 Uncleared Cheques'!G:G,'01 Income and Expenses'!J69,'04 Uncleared Cheques'!D:D)-SUMIF('04 Uncleared Cheques'!G:G,'01 Income and Expenses'!J69,'04 Uncleared Cheques'!E:E)+SUMIF('05 Cash In Transit'!G:G,'01 Income and Expenses'!J69,'05 Cash In Transit'!D:D)-SUMIF('05 Cash In Transit'!G:G,'01 Income and Expenses'!J69,'05 Cash In Transit'!E:E)</f>
        <v>0</v>
      </c>
      <c r="L69" t="str">
        <f>VLOOKUP(C69,'00 Summary'!D:D,1,0)</f>
        <v>Car Boot</v>
      </c>
    </row>
    <row r="70" spans="1:12" x14ac:dyDescent="0.25">
      <c r="A70" s="3">
        <v>44435</v>
      </c>
      <c r="B70" t="s">
        <v>216</v>
      </c>
      <c r="C70" t="s">
        <v>216</v>
      </c>
      <c r="D70" t="s">
        <v>171</v>
      </c>
      <c r="G70" s="4">
        <v>1000</v>
      </c>
      <c r="H70" s="4">
        <f t="shared" si="2"/>
        <v>-1410.15</v>
      </c>
      <c r="I70" s="1" t="s">
        <v>6</v>
      </c>
      <c r="J70" s="1" t="s">
        <v>215</v>
      </c>
      <c r="K70" s="4">
        <f>SUMIF(J:J,J70,G:G)-SUMIF(J:J,J70,F:F)+SUMIF('02 Bank'!H:H,'01 Income and Expenses'!J70,'02 Bank'!E:E)-SUMIF('02 Bank'!H:H,'01 Income and Expenses'!J70,'02 Bank'!F:F)+SUMIF('03 Petty Cash'!G:G,'01 Income and Expenses'!J70,'03 Petty Cash'!D:D)-SUMIF('03 Petty Cash'!G:G,'01 Income and Expenses'!J70,'03 Petty Cash'!E:E)+SUMIF('04 Uncleared Cheques'!G:G,'01 Income and Expenses'!J70,'04 Uncleared Cheques'!D:D)-SUMIF('04 Uncleared Cheques'!G:G,'01 Income and Expenses'!J70,'04 Uncleared Cheques'!E:E)+SUMIF('05 Cash In Transit'!G:G,'01 Income and Expenses'!J70,'05 Cash In Transit'!D:D)-SUMIF('05 Cash In Transit'!G:G,'01 Income and Expenses'!J70,'05 Cash In Transit'!E:E)</f>
        <v>0</v>
      </c>
      <c r="L70" t="str">
        <f>VLOOKUP(C70,'00 Summary'!D:D,1,0)</f>
        <v>Arnold Clarke Grant</v>
      </c>
    </row>
    <row r="71" spans="1:12" x14ac:dyDescent="0.25">
      <c r="A71" s="3">
        <v>44439</v>
      </c>
      <c r="B71" t="s">
        <v>218</v>
      </c>
      <c r="C71" t="s">
        <v>38</v>
      </c>
      <c r="D71" t="s">
        <v>14</v>
      </c>
      <c r="F71" s="4">
        <v>101.9</v>
      </c>
      <c r="H71" s="4">
        <f t="shared" si="2"/>
        <v>-1512.0500000000002</v>
      </c>
      <c r="I71" s="1" t="s">
        <v>5</v>
      </c>
      <c r="J71" s="1" t="s">
        <v>220</v>
      </c>
      <c r="K71" s="4">
        <f>SUMIF(J:J,J71,G:G)-SUMIF(J:J,J71,F:F)+SUMIF('02 Bank'!H:H,'01 Income and Expenses'!J71,'02 Bank'!E:E)-SUMIF('02 Bank'!H:H,'01 Income and Expenses'!J71,'02 Bank'!F:F)+SUMIF('03 Petty Cash'!G:G,'01 Income and Expenses'!J71,'03 Petty Cash'!D:D)-SUMIF('03 Petty Cash'!G:G,'01 Income and Expenses'!J71,'03 Petty Cash'!E:E)+SUMIF('04 Uncleared Cheques'!G:G,'01 Income and Expenses'!J71,'04 Uncleared Cheques'!D:D)-SUMIF('04 Uncleared Cheques'!G:G,'01 Income and Expenses'!J71,'04 Uncleared Cheques'!E:E)+SUMIF('05 Cash In Transit'!G:G,'01 Income and Expenses'!J71,'05 Cash In Transit'!D:D)-SUMIF('05 Cash In Transit'!G:G,'01 Income and Expenses'!J71,'05 Cash In Transit'!E:E)</f>
        <v>0</v>
      </c>
      <c r="L71" t="str">
        <f>VLOOKUP(C71,'00 Summary'!D:D,1,0)</f>
        <v>Other Expenses</v>
      </c>
    </row>
    <row r="72" spans="1:12" x14ac:dyDescent="0.25">
      <c r="A72" s="3">
        <v>44439</v>
      </c>
      <c r="B72" t="s">
        <v>223</v>
      </c>
      <c r="C72" t="s">
        <v>38</v>
      </c>
      <c r="D72" t="s">
        <v>14</v>
      </c>
      <c r="G72" s="4">
        <v>1.01</v>
      </c>
      <c r="H72" s="4">
        <f t="shared" si="2"/>
        <v>-1511.0400000000002</v>
      </c>
      <c r="I72" s="1" t="s">
        <v>5</v>
      </c>
      <c r="J72" s="1" t="s">
        <v>224</v>
      </c>
      <c r="K72" s="4">
        <f>SUMIF(J:J,J72,G:G)-SUMIF(J:J,J72,F:F)+SUMIF('02 Bank'!H:H,'01 Income and Expenses'!J72,'02 Bank'!E:E)-SUMIF('02 Bank'!H:H,'01 Income and Expenses'!J72,'02 Bank'!F:F)+SUMIF('03 Petty Cash'!G:G,'01 Income and Expenses'!J72,'03 Petty Cash'!D:D)-SUMIF('03 Petty Cash'!G:G,'01 Income and Expenses'!J72,'03 Petty Cash'!E:E)+SUMIF('04 Uncleared Cheques'!G:G,'01 Income and Expenses'!J72,'04 Uncleared Cheques'!D:D)-SUMIF('04 Uncleared Cheques'!G:G,'01 Income and Expenses'!J72,'04 Uncleared Cheques'!E:E)+SUMIF('05 Cash In Transit'!G:G,'01 Income and Expenses'!J72,'05 Cash In Transit'!D:D)-SUMIF('05 Cash In Transit'!G:G,'01 Income and Expenses'!J72,'05 Cash In Transit'!E:E)</f>
        <v>0</v>
      </c>
      <c r="L72" t="str">
        <f>VLOOKUP(C72,'00 Summary'!D:D,1,0)</f>
        <v>Other Expenses</v>
      </c>
    </row>
    <row r="73" spans="1:12" x14ac:dyDescent="0.25">
      <c r="H73" s="4">
        <f t="shared" si="2"/>
        <v>-1511.0400000000002</v>
      </c>
      <c r="I73" s="1"/>
      <c r="J73" s="1"/>
      <c r="K73" s="4"/>
    </row>
    <row r="74" spans="1:12" x14ac:dyDescent="0.25">
      <c r="H74" s="4">
        <f t="shared" si="2"/>
        <v>-1511.0400000000002</v>
      </c>
      <c r="I74" s="1"/>
      <c r="J74" s="1"/>
      <c r="K74" s="4"/>
    </row>
    <row r="75" spans="1:12" x14ac:dyDescent="0.25">
      <c r="A75" s="70"/>
      <c r="B75" s="71"/>
      <c r="C75" s="71"/>
      <c r="D75" s="71"/>
      <c r="E75" s="72"/>
      <c r="F75" s="73"/>
      <c r="G75" s="73"/>
      <c r="H75" s="73">
        <f t="shared" si="2"/>
        <v>-1511.0400000000002</v>
      </c>
      <c r="I75" s="72"/>
      <c r="J75" s="73"/>
      <c r="K75" s="73">
        <f>SUMIF(J:J,J75,G:G)-SUMIF(J:J,J75,F:F)+SUMIF('02 Bank'!H:H,'01 Income and Expenses'!J75,'02 Bank'!E:E)-SUMIF('02 Bank'!H:H,'01 Income and Expenses'!J75,'02 Bank'!F:F)+SUMIF('03 Petty Cash'!G:G,'01 Income and Expenses'!J75,'03 Petty Cash'!D:D)-SUMIF('03 Petty Cash'!G:G,'01 Income and Expenses'!J75,'03 Petty Cash'!E:E)+SUMIF('04 Uncleared Cheques'!G:G,'01 Income and Expenses'!J75,'04 Uncleared Cheques'!D:D)-SUMIF('04 Uncleared Cheques'!G:G,'01 Income and Expenses'!J75,'04 Uncleared Cheques'!E:E)+SUMIF('05 Cash In Transit'!G:G,'01 Income and Expenses'!J75,'05 Cash In Transit'!D:D)-SUMIF('05 Cash In Transit'!G:G,'01 Income and Expenses'!J75,'05 Cash In Transit'!E:E)</f>
        <v>0</v>
      </c>
      <c r="L75" t="e">
        <f>VLOOKUP(C75,'00 Summary'!D:D,1,0)</f>
        <v>#N/A</v>
      </c>
    </row>
    <row r="76" spans="1:12" s="5" customFormat="1" x14ac:dyDescent="0.25">
      <c r="A76" s="13" t="s">
        <v>60</v>
      </c>
      <c r="E76" s="14"/>
      <c r="F76" s="15">
        <f>SUM(F9:F75)</f>
        <v>7145.76</v>
      </c>
      <c r="G76" s="15">
        <f>SUM(G9:G75)</f>
        <v>5634.72</v>
      </c>
      <c r="H76" s="15">
        <f>H75</f>
        <v>-1511.0400000000002</v>
      </c>
      <c r="I76" s="14"/>
      <c r="J76" s="78"/>
      <c r="K76" s="15"/>
    </row>
    <row r="77" spans="1:12" x14ac:dyDescent="0.25">
      <c r="I77" s="1"/>
      <c r="J77" s="1"/>
    </row>
    <row r="78" spans="1:12" x14ac:dyDescent="0.25">
      <c r="I78" s="1"/>
      <c r="J78" s="1"/>
    </row>
    <row r="79" spans="1:12" x14ac:dyDescent="0.25">
      <c r="I79" s="1"/>
      <c r="J79" s="1"/>
    </row>
    <row r="80" spans="1:12" x14ac:dyDescent="0.25">
      <c r="I80" s="1"/>
      <c r="J80" s="1"/>
    </row>
    <row r="81" spans="9:10" x14ac:dyDescent="0.25">
      <c r="I81" s="1"/>
      <c r="J81" s="1"/>
    </row>
    <row r="82" spans="9:10" x14ac:dyDescent="0.25">
      <c r="I82" s="1"/>
      <c r="J82" s="1"/>
    </row>
    <row r="83" spans="9:10" x14ac:dyDescent="0.25">
      <c r="I83" s="1"/>
      <c r="J83" s="1"/>
    </row>
    <row r="84" spans="9:10" x14ac:dyDescent="0.25">
      <c r="I84" s="1"/>
      <c r="J84" s="1"/>
    </row>
    <row r="85" spans="9:10" x14ac:dyDescent="0.25">
      <c r="I85" s="1"/>
      <c r="J85" s="1"/>
    </row>
    <row r="86" spans="9:10" x14ac:dyDescent="0.25">
      <c r="I86" s="1"/>
      <c r="J86" s="1"/>
    </row>
    <row r="87" spans="9:10" x14ac:dyDescent="0.25">
      <c r="I87" s="1"/>
      <c r="J87" s="1"/>
    </row>
    <row r="88" spans="9:10" x14ac:dyDescent="0.25">
      <c r="I88" s="1"/>
      <c r="J88" s="1"/>
    </row>
    <row r="89" spans="9:10" x14ac:dyDescent="0.25">
      <c r="I89" s="1"/>
      <c r="J89" s="1"/>
    </row>
    <row r="90" spans="9:10" x14ac:dyDescent="0.25">
      <c r="I90" s="1"/>
      <c r="J90" s="1"/>
    </row>
    <row r="91" spans="9:10" x14ac:dyDescent="0.25">
      <c r="I91" s="1"/>
      <c r="J91" s="1"/>
    </row>
    <row r="92" spans="9:10" x14ac:dyDescent="0.25">
      <c r="I92" s="1"/>
      <c r="J92" s="1"/>
    </row>
    <row r="93" spans="9:10" x14ac:dyDescent="0.25">
      <c r="I93" s="1"/>
      <c r="J93" s="1"/>
    </row>
    <row r="94" spans="9:10" x14ac:dyDescent="0.25">
      <c r="I94" s="1"/>
      <c r="J94" s="1"/>
    </row>
    <row r="95" spans="9:10" x14ac:dyDescent="0.25">
      <c r="I95" s="1"/>
      <c r="J95" s="1"/>
    </row>
    <row r="96" spans="9:10" x14ac:dyDescent="0.25">
      <c r="I96" s="1"/>
      <c r="J96" s="1"/>
    </row>
    <row r="97" spans="9:10" x14ac:dyDescent="0.25">
      <c r="I97" s="1"/>
      <c r="J97" s="1"/>
    </row>
    <row r="98" spans="9:10" x14ac:dyDescent="0.25">
      <c r="I98" s="1"/>
      <c r="J98" s="1"/>
    </row>
    <row r="99" spans="9:10" x14ac:dyDescent="0.25">
      <c r="I99" s="1"/>
      <c r="J99" s="1"/>
    </row>
  </sheetData>
  <autoFilter ref="A8:M76" xr:uid="{ACDF41B3-0436-4767-8B20-D6E7FADB1B1D}"/>
  <sortState xmlns:xlrd2="http://schemas.microsoft.com/office/spreadsheetml/2017/richdata2" ref="A9:J46">
    <sortCondition ref="A9:A46"/>
  </sortState>
  <phoneticPr fontId="4" type="noConversion"/>
  <pageMargins left="0.7" right="0.7" top="0.75" bottom="0.75" header="0.3" footer="0.3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CD2E-88D7-43E2-86FD-38E506314F82}">
  <dimension ref="A3:J55"/>
  <sheetViews>
    <sheetView topLeftCell="A30" workbookViewId="0">
      <selection activeCell="G54" sqref="G54"/>
    </sheetView>
  </sheetViews>
  <sheetFormatPr defaultColWidth="0" defaultRowHeight="15" x14ac:dyDescent="0.25"/>
  <cols>
    <col min="1" max="1" width="11.5703125" customWidth="1"/>
    <col min="2" max="2" width="35" customWidth="1"/>
    <col min="3" max="3" width="9.140625" customWidth="1"/>
    <col min="4" max="4" width="13.42578125" style="1" customWidth="1"/>
    <col min="5" max="9" width="15.7109375" customWidth="1"/>
    <col min="10" max="10" width="9.140625" customWidth="1"/>
    <col min="11" max="16384" width="9.140625" hidden="1"/>
  </cols>
  <sheetData>
    <row r="3" spans="1:9" x14ac:dyDescent="0.25">
      <c r="F3" s="39"/>
    </row>
    <row r="4" spans="1:9" x14ac:dyDescent="0.25">
      <c r="F4" s="12"/>
      <c r="G4" s="2"/>
    </row>
    <row r="5" spans="1:9" ht="6.75" customHeight="1" x14ac:dyDescent="0.25"/>
    <row r="6" spans="1:9" x14ac:dyDescent="0.25">
      <c r="A6" s="5" t="s">
        <v>26</v>
      </c>
    </row>
    <row r="7" spans="1:9" x14ac:dyDescent="0.25">
      <c r="A7" s="5" t="s">
        <v>27</v>
      </c>
    </row>
    <row r="8" spans="1:9" ht="29.25" customHeight="1" x14ac:dyDescent="0.25">
      <c r="A8" s="16" t="s">
        <v>1</v>
      </c>
      <c r="B8" s="7" t="s">
        <v>0</v>
      </c>
      <c r="C8" s="7" t="s">
        <v>12</v>
      </c>
      <c r="D8" s="7" t="s">
        <v>15</v>
      </c>
      <c r="E8" s="8" t="s">
        <v>28</v>
      </c>
      <c r="F8" s="8" t="s">
        <v>29</v>
      </c>
      <c r="G8" s="8" t="s">
        <v>13</v>
      </c>
      <c r="H8" s="7" t="s">
        <v>18</v>
      </c>
      <c r="I8" s="7" t="s">
        <v>19</v>
      </c>
    </row>
    <row r="9" spans="1:9" x14ac:dyDescent="0.25">
      <c r="A9" s="13">
        <v>44074</v>
      </c>
      <c r="B9" s="5" t="s">
        <v>11</v>
      </c>
      <c r="C9" s="5"/>
      <c r="D9" s="14"/>
      <c r="E9" s="15"/>
      <c r="F9" s="15"/>
      <c r="G9" s="15">
        <v>5169.8</v>
      </c>
      <c r="H9" s="1"/>
      <c r="I9" s="1"/>
    </row>
    <row r="10" spans="1:9" x14ac:dyDescent="0.25">
      <c r="A10" s="3">
        <v>44098</v>
      </c>
      <c r="B10" t="s">
        <v>70</v>
      </c>
      <c r="D10"/>
      <c r="E10" s="82"/>
      <c r="F10" s="82">
        <v>186</v>
      </c>
      <c r="G10" s="4">
        <f>G9+F10-E10</f>
        <v>5355.8</v>
      </c>
      <c r="H10" s="81" t="s">
        <v>67</v>
      </c>
      <c r="I10" s="11">
        <f>SUMIF('01 Income and Expenses'!J:J,'02 Bank'!H10,'01 Income and Expenses'!G:G)-SUMIF('01 Income and Expenses'!J:J,'02 Bank'!H10,'01 Income and Expenses'!F:F)+E10-F10</f>
        <v>0</v>
      </c>
    </row>
    <row r="11" spans="1:9" x14ac:dyDescent="0.25">
      <c r="A11" s="3">
        <v>44105</v>
      </c>
      <c r="B11" t="s">
        <v>92</v>
      </c>
      <c r="D11"/>
      <c r="E11" s="82"/>
      <c r="F11" s="82">
        <v>0.01</v>
      </c>
      <c r="G11" s="4">
        <f t="shared" ref="G11:G20" si="0">G10+F11-E11</f>
        <v>5355.81</v>
      </c>
      <c r="H11" s="81" t="s">
        <v>91</v>
      </c>
      <c r="I11" s="11">
        <f>SUMIF('01 Income and Expenses'!J:J,'02 Bank'!H11,'01 Income and Expenses'!G:G)-SUMIF('01 Income and Expenses'!J:J,'02 Bank'!H11,'01 Income and Expenses'!F:F)+E11-F11</f>
        <v>0</v>
      </c>
    </row>
    <row r="12" spans="1:9" x14ac:dyDescent="0.25">
      <c r="A12" s="3">
        <v>44105</v>
      </c>
      <c r="B12" t="s">
        <v>76</v>
      </c>
      <c r="D12" t="s">
        <v>75</v>
      </c>
      <c r="E12" s="82">
        <v>217</v>
      </c>
      <c r="F12" s="83"/>
      <c r="G12" s="4">
        <f t="shared" si="0"/>
        <v>5138.8100000000004</v>
      </c>
      <c r="H12" s="81" t="s">
        <v>88</v>
      </c>
      <c r="I12" s="11">
        <f>SUMIF('01 Income and Expenses'!J:J,'02 Bank'!H12,'01 Income and Expenses'!G:G)-SUMIF('01 Income and Expenses'!J:J,'02 Bank'!H12,'01 Income and Expenses'!F:F)+E12-F12</f>
        <v>0</v>
      </c>
    </row>
    <row r="13" spans="1:9" x14ac:dyDescent="0.25">
      <c r="A13" s="3">
        <v>44111</v>
      </c>
      <c r="B13" t="s">
        <v>72</v>
      </c>
      <c r="C13" t="s">
        <v>17</v>
      </c>
      <c r="D13" t="s">
        <v>73</v>
      </c>
      <c r="E13" s="82">
        <v>333</v>
      </c>
      <c r="F13" s="4"/>
      <c r="G13" s="4">
        <f t="shared" si="0"/>
        <v>4805.8100000000004</v>
      </c>
      <c r="H13" s="81" t="s">
        <v>89</v>
      </c>
      <c r="I13" s="11">
        <f>SUMIF('01 Income and Expenses'!J:J,'02 Bank'!H13,'01 Income and Expenses'!G:G)-SUMIF('01 Income and Expenses'!J:J,'02 Bank'!H13,'01 Income and Expenses'!F:F)+E13-F13</f>
        <v>0</v>
      </c>
    </row>
    <row r="14" spans="1:9" x14ac:dyDescent="0.25">
      <c r="A14" s="3">
        <v>44131</v>
      </c>
      <c r="B14" t="s">
        <v>84</v>
      </c>
      <c r="C14" s="1" t="s">
        <v>14</v>
      </c>
      <c r="E14" s="4"/>
      <c r="F14" s="4">
        <v>100</v>
      </c>
      <c r="G14" s="4">
        <f t="shared" si="0"/>
        <v>4905.8100000000004</v>
      </c>
      <c r="H14" s="81" t="s">
        <v>90</v>
      </c>
      <c r="I14" s="11">
        <f>SUMIF('01 Income and Expenses'!J:J,'02 Bank'!H14,'01 Income and Expenses'!G:G)-SUMIF('01 Income and Expenses'!J:J,'02 Bank'!H14,'01 Income and Expenses'!F:F)+E14-F14</f>
        <v>0</v>
      </c>
    </row>
    <row r="15" spans="1:9" x14ac:dyDescent="0.25">
      <c r="A15" s="3">
        <v>44130</v>
      </c>
      <c r="B15" t="s">
        <v>83</v>
      </c>
      <c r="C15" s="1" t="s">
        <v>14</v>
      </c>
      <c r="E15" s="4"/>
      <c r="F15" s="4">
        <v>383.85</v>
      </c>
      <c r="G15" s="4">
        <f t="shared" si="0"/>
        <v>5289.6600000000008</v>
      </c>
      <c r="H15" s="81" t="s">
        <v>93</v>
      </c>
      <c r="I15" s="11">
        <f>SUMIF('01 Income and Expenses'!J:J,'02 Bank'!H15,'01 Income and Expenses'!G:G)-SUMIF('01 Income and Expenses'!J:J,'02 Bank'!H15,'01 Income and Expenses'!F:F)+E15-F15</f>
        <v>0</v>
      </c>
    </row>
    <row r="16" spans="1:9" x14ac:dyDescent="0.25">
      <c r="A16" s="3">
        <v>44130</v>
      </c>
      <c r="B16" t="s">
        <v>84</v>
      </c>
      <c r="C16" s="1" t="s">
        <v>14</v>
      </c>
      <c r="E16" s="4"/>
      <c r="F16" s="4">
        <v>100</v>
      </c>
      <c r="G16" s="4">
        <f t="shared" si="0"/>
        <v>5389.6600000000008</v>
      </c>
      <c r="H16" s="81" t="s">
        <v>94</v>
      </c>
      <c r="I16" s="11">
        <f>SUMIF('01 Income and Expenses'!J:J,'02 Bank'!H16,'01 Income and Expenses'!G:G)-SUMIF('01 Income and Expenses'!J:J,'02 Bank'!H16,'01 Income and Expenses'!F:F)+E16-F16</f>
        <v>0</v>
      </c>
    </row>
    <row r="17" spans="1:9" x14ac:dyDescent="0.25">
      <c r="A17" s="3">
        <v>44130</v>
      </c>
      <c r="B17" t="s">
        <v>84</v>
      </c>
      <c r="C17" s="1" t="s">
        <v>14</v>
      </c>
      <c r="D17" s="9"/>
      <c r="E17" s="4"/>
      <c r="F17" s="4">
        <v>100</v>
      </c>
      <c r="G17" s="4">
        <f t="shared" si="0"/>
        <v>5489.6600000000008</v>
      </c>
      <c r="H17" s="81" t="s">
        <v>95</v>
      </c>
      <c r="I17" s="11">
        <f>SUMIF('01 Income and Expenses'!J:J,'02 Bank'!H17,'01 Income and Expenses'!G:G)-SUMIF('01 Income and Expenses'!J:J,'02 Bank'!H17,'01 Income and Expenses'!F:F)+E17-F17</f>
        <v>0</v>
      </c>
    </row>
    <row r="18" spans="1:9" x14ac:dyDescent="0.25">
      <c r="A18" s="3">
        <v>44154</v>
      </c>
      <c r="B18" t="s">
        <v>20</v>
      </c>
      <c r="C18" s="1" t="s">
        <v>17</v>
      </c>
      <c r="D18" s="9"/>
      <c r="E18" s="4"/>
      <c r="F18" s="4">
        <v>309</v>
      </c>
      <c r="G18" s="4">
        <f t="shared" si="0"/>
        <v>5798.6600000000008</v>
      </c>
      <c r="H18" s="81" t="s">
        <v>96</v>
      </c>
      <c r="I18" s="11">
        <f>SUMIF('01 Income and Expenses'!J:J,'02 Bank'!H18,'01 Income and Expenses'!G:G)-SUMIF('01 Income and Expenses'!J:J,'02 Bank'!H18,'01 Income and Expenses'!F:F)+E18-F18</f>
        <v>0</v>
      </c>
    </row>
    <row r="19" spans="1:9" x14ac:dyDescent="0.25">
      <c r="A19" s="3">
        <v>44130</v>
      </c>
      <c r="B19" t="s">
        <v>84</v>
      </c>
      <c r="C19" s="1" t="s">
        <v>14</v>
      </c>
      <c r="D19" s="9"/>
      <c r="E19" s="4"/>
      <c r="F19" s="4">
        <v>83.1</v>
      </c>
      <c r="G19" s="4">
        <f t="shared" si="0"/>
        <v>5881.7600000000011</v>
      </c>
      <c r="H19" s="81" t="s">
        <v>127</v>
      </c>
      <c r="I19" s="11">
        <f>SUMIF('01 Income and Expenses'!J:J,'02 Bank'!H19,'01 Income and Expenses'!G:G)-SUMIF('01 Income and Expenses'!J:J,'02 Bank'!H19,'01 Income and Expenses'!F:F)+E19-F19</f>
        <v>0</v>
      </c>
    </row>
    <row r="20" spans="1:9" x14ac:dyDescent="0.25">
      <c r="A20" s="3">
        <v>44130</v>
      </c>
      <c r="B20" t="s">
        <v>84</v>
      </c>
      <c r="C20" s="1" t="s">
        <v>14</v>
      </c>
      <c r="D20" s="9"/>
      <c r="E20" s="4"/>
      <c r="F20" s="4">
        <v>100</v>
      </c>
      <c r="G20" s="4">
        <f t="shared" si="0"/>
        <v>5981.7600000000011</v>
      </c>
      <c r="H20" s="81" t="s">
        <v>128</v>
      </c>
      <c r="I20" s="11">
        <f>SUMIF('01 Income and Expenses'!J:J,'02 Bank'!H20,'01 Income and Expenses'!G:G)-SUMIF('01 Income and Expenses'!J:J,'02 Bank'!H20,'01 Income and Expenses'!F:F)+E20-F20</f>
        <v>0</v>
      </c>
    </row>
    <row r="21" spans="1:9" x14ac:dyDescent="0.25">
      <c r="A21" s="3">
        <v>44172</v>
      </c>
      <c r="B21" t="s">
        <v>110</v>
      </c>
      <c r="C21" s="1" t="s">
        <v>17</v>
      </c>
      <c r="D21" s="9" t="s">
        <v>109</v>
      </c>
      <c r="E21" s="4">
        <v>487.8</v>
      </c>
      <c r="F21" s="4"/>
      <c r="G21" s="4">
        <f t="shared" ref="G21:G54" si="1">G20+F21-E21</f>
        <v>5493.9600000000009</v>
      </c>
      <c r="H21" s="81" t="s">
        <v>129</v>
      </c>
      <c r="I21" s="11">
        <f>SUMIF('01 Income and Expenses'!J:J,'02 Bank'!H21,'01 Income and Expenses'!G:G)-SUMIF('01 Income and Expenses'!J:J,'02 Bank'!H21,'01 Income and Expenses'!F:F)+E21-F21</f>
        <v>0</v>
      </c>
    </row>
    <row r="22" spans="1:9" x14ac:dyDescent="0.25">
      <c r="A22" s="3">
        <v>44149</v>
      </c>
      <c r="B22" t="s">
        <v>113</v>
      </c>
      <c r="C22" s="1" t="s">
        <v>17</v>
      </c>
      <c r="D22" s="1" t="s">
        <v>114</v>
      </c>
      <c r="E22" s="4">
        <v>157</v>
      </c>
      <c r="F22" s="4"/>
      <c r="G22" s="4">
        <f t="shared" si="1"/>
        <v>5336.9600000000009</v>
      </c>
      <c r="H22" s="81" t="s">
        <v>130</v>
      </c>
      <c r="I22" s="11">
        <f>SUMIF('01 Income and Expenses'!J:J,'02 Bank'!H22,'01 Income and Expenses'!G:G)-SUMIF('01 Income and Expenses'!J:J,'02 Bank'!H22,'01 Income and Expenses'!F:F)+E22-F22</f>
        <v>0</v>
      </c>
    </row>
    <row r="23" spans="1:9" x14ac:dyDescent="0.25">
      <c r="A23" s="3">
        <v>44175</v>
      </c>
      <c r="B23" t="s">
        <v>124</v>
      </c>
      <c r="C23" s="1" t="s">
        <v>17</v>
      </c>
      <c r="D23" s="1" t="s">
        <v>123</v>
      </c>
      <c r="E23" s="4">
        <v>48.26</v>
      </c>
      <c r="F23" s="4"/>
      <c r="G23" s="4">
        <f t="shared" si="1"/>
        <v>5288.7000000000007</v>
      </c>
      <c r="H23" s="81" t="s">
        <v>131</v>
      </c>
      <c r="I23" s="11">
        <f>SUMIF('01 Income and Expenses'!J:J,'02 Bank'!H23,'01 Income and Expenses'!G:G)-SUMIF('01 Income and Expenses'!J:J,'02 Bank'!H23,'01 Income and Expenses'!F:F)+E23-F23</f>
        <v>0</v>
      </c>
    </row>
    <row r="24" spans="1:9" x14ac:dyDescent="0.25">
      <c r="A24" s="3">
        <v>44175</v>
      </c>
      <c r="B24" t="s">
        <v>124</v>
      </c>
      <c r="C24" s="1" t="s">
        <v>17</v>
      </c>
      <c r="D24" s="1" t="s">
        <v>123</v>
      </c>
      <c r="E24" s="4">
        <v>93.5</v>
      </c>
      <c r="F24" s="4"/>
      <c r="G24" s="4">
        <f t="shared" si="1"/>
        <v>5195.2000000000007</v>
      </c>
      <c r="H24" s="81" t="s">
        <v>132</v>
      </c>
      <c r="I24" s="11">
        <f>SUMIF('01 Income and Expenses'!J:J,'02 Bank'!H24,'01 Income and Expenses'!G:G)-SUMIF('01 Income and Expenses'!J:J,'02 Bank'!H24,'01 Income and Expenses'!F:F)+E24-F24</f>
        <v>0</v>
      </c>
    </row>
    <row r="25" spans="1:9" x14ac:dyDescent="0.25">
      <c r="A25" s="3">
        <v>44175</v>
      </c>
      <c r="B25" t="s">
        <v>125</v>
      </c>
      <c r="C25" s="1" t="s">
        <v>17</v>
      </c>
      <c r="D25" s="9" t="s">
        <v>123</v>
      </c>
      <c r="E25" s="4">
        <v>161.29</v>
      </c>
      <c r="F25" s="4"/>
      <c r="G25" s="4">
        <f t="shared" si="1"/>
        <v>5033.9100000000008</v>
      </c>
      <c r="H25" s="81" t="s">
        <v>133</v>
      </c>
      <c r="I25" s="11">
        <f>SUMIF('01 Income and Expenses'!J:J,'02 Bank'!H25,'01 Income and Expenses'!G:G)-SUMIF('01 Income and Expenses'!J:J,'02 Bank'!H25,'01 Income and Expenses'!F:F)+E25-F25</f>
        <v>0</v>
      </c>
    </row>
    <row r="26" spans="1:9" x14ac:dyDescent="0.25">
      <c r="A26" s="3">
        <v>44217</v>
      </c>
      <c r="B26" t="s">
        <v>134</v>
      </c>
      <c r="C26" s="1" t="s">
        <v>17</v>
      </c>
      <c r="D26" s="9" t="s">
        <v>135</v>
      </c>
      <c r="E26" s="4">
        <v>116</v>
      </c>
      <c r="F26" s="2"/>
      <c r="G26" s="4">
        <f t="shared" si="1"/>
        <v>4917.9100000000008</v>
      </c>
      <c r="H26" s="81" t="s">
        <v>136</v>
      </c>
      <c r="I26" s="11">
        <f>SUMIF('01 Income and Expenses'!J:J,'02 Bank'!H26,'01 Income and Expenses'!G:G)-SUMIF('01 Income and Expenses'!J:J,'02 Bank'!H26,'01 Income and Expenses'!F:F)+E26-F26</f>
        <v>0</v>
      </c>
    </row>
    <row r="27" spans="1:9" x14ac:dyDescent="0.25">
      <c r="A27" s="3">
        <v>44225</v>
      </c>
      <c r="B27" t="s">
        <v>70</v>
      </c>
      <c r="C27" s="9"/>
      <c r="D27" s="4"/>
      <c r="E27" s="4"/>
      <c r="F27" s="4">
        <v>217.8</v>
      </c>
      <c r="G27" s="4">
        <f t="shared" si="1"/>
        <v>5135.7100000000009</v>
      </c>
      <c r="H27" s="81" t="s">
        <v>162</v>
      </c>
      <c r="I27" s="11">
        <f>SUMIF('01 Income and Expenses'!J:J,'02 Bank'!H27,'01 Income and Expenses'!G:G)-SUMIF('01 Income and Expenses'!J:J,'02 Bank'!H27,'01 Income and Expenses'!F:F)+E27-F27</f>
        <v>0</v>
      </c>
    </row>
    <row r="28" spans="1:9" x14ac:dyDescent="0.25">
      <c r="A28" s="3">
        <v>44238</v>
      </c>
      <c r="B28" t="s">
        <v>169</v>
      </c>
      <c r="C28" s="1" t="s">
        <v>171</v>
      </c>
      <c r="D28" s="38"/>
      <c r="E28" s="4"/>
      <c r="F28" s="4">
        <v>22.77</v>
      </c>
      <c r="G28" s="4">
        <f t="shared" si="1"/>
        <v>5158.4800000000014</v>
      </c>
      <c r="H28" s="81" t="s">
        <v>163</v>
      </c>
      <c r="I28" s="11">
        <f>SUMIF('01 Income and Expenses'!J:J,'02 Bank'!H28,'01 Income and Expenses'!G:G)-SUMIF('01 Income and Expenses'!J:J,'02 Bank'!H28,'01 Income and Expenses'!F:F)+E28-F28</f>
        <v>0</v>
      </c>
    </row>
    <row r="29" spans="1:9" x14ac:dyDescent="0.25">
      <c r="A29" s="3">
        <v>44259</v>
      </c>
      <c r="B29" t="s">
        <v>155</v>
      </c>
      <c r="C29" s="1" t="s">
        <v>14</v>
      </c>
      <c r="D29" s="9"/>
      <c r="E29" s="4"/>
      <c r="F29" s="4">
        <v>280</v>
      </c>
      <c r="G29" s="4">
        <f t="shared" si="1"/>
        <v>5438.4800000000014</v>
      </c>
      <c r="H29" s="81" t="s">
        <v>164</v>
      </c>
      <c r="I29" s="11">
        <f>SUMIF('01 Income and Expenses'!J:J,'02 Bank'!H29,'01 Income and Expenses'!G:G)-SUMIF('01 Income and Expenses'!J:J,'02 Bank'!H29,'01 Income and Expenses'!F:F)+E29-F29</f>
        <v>-280</v>
      </c>
    </row>
    <row r="30" spans="1:9" x14ac:dyDescent="0.25">
      <c r="A30" s="3">
        <v>80755</v>
      </c>
      <c r="B30" t="s">
        <v>137</v>
      </c>
      <c r="C30" s="9"/>
      <c r="D30" s="4"/>
      <c r="E30" s="4"/>
      <c r="F30" s="4">
        <v>500</v>
      </c>
      <c r="G30" s="4">
        <f t="shared" si="1"/>
        <v>5938.4800000000014</v>
      </c>
      <c r="H30" s="81" t="s">
        <v>165</v>
      </c>
      <c r="I30" s="11">
        <f>SUMIF('01 Income and Expenses'!J:J,'02 Bank'!H30,'01 Income and Expenses'!G:G)-SUMIF('01 Income and Expenses'!J:J,'02 Bank'!H30,'01 Income and Expenses'!F:F)+E30-F30</f>
        <v>0</v>
      </c>
    </row>
    <row r="31" spans="1:9" x14ac:dyDescent="0.25">
      <c r="A31" s="3">
        <v>80790</v>
      </c>
      <c r="B31" t="s">
        <v>146</v>
      </c>
      <c r="C31" s="1" t="s">
        <v>17</v>
      </c>
      <c r="D31" s="1" t="s">
        <v>145</v>
      </c>
      <c r="E31" s="9">
        <v>168.3</v>
      </c>
      <c r="F31" s="4"/>
      <c r="G31" s="4">
        <f t="shared" si="1"/>
        <v>5770.1800000000012</v>
      </c>
      <c r="H31" s="81" t="s">
        <v>166</v>
      </c>
      <c r="I31" s="11">
        <f>SUMIF('01 Income and Expenses'!J:J,'02 Bank'!H31,'01 Income and Expenses'!G:G)-SUMIF('01 Income and Expenses'!J:J,'02 Bank'!H31,'01 Income and Expenses'!F:F)+E31-F31</f>
        <v>0</v>
      </c>
    </row>
    <row r="32" spans="1:9" x14ac:dyDescent="0.25">
      <c r="A32" s="3">
        <v>80790</v>
      </c>
      <c r="B32" t="s">
        <v>148</v>
      </c>
      <c r="C32" s="1" t="s">
        <v>17</v>
      </c>
      <c r="D32" s="1" t="s">
        <v>147</v>
      </c>
      <c r="E32" s="9">
        <v>500</v>
      </c>
      <c r="F32" s="4"/>
      <c r="G32" s="4">
        <f t="shared" si="1"/>
        <v>5270.1800000000012</v>
      </c>
      <c r="H32" s="81" t="s">
        <v>167</v>
      </c>
      <c r="I32" s="11">
        <f>SUMIF('01 Income and Expenses'!J:J,'02 Bank'!H32,'01 Income and Expenses'!G:G)-SUMIF('01 Income and Expenses'!J:J,'02 Bank'!H32,'01 Income and Expenses'!F:F)+E32-F32</f>
        <v>0</v>
      </c>
    </row>
    <row r="33" spans="1:9" x14ac:dyDescent="0.25">
      <c r="A33" s="3">
        <v>80795</v>
      </c>
      <c r="B33" t="s">
        <v>150</v>
      </c>
      <c r="C33" s="1" t="s">
        <v>17</v>
      </c>
      <c r="D33" s="1" t="s">
        <v>149</v>
      </c>
      <c r="E33" s="9">
        <v>318.75</v>
      </c>
      <c r="F33" s="4"/>
      <c r="G33" s="4">
        <f t="shared" si="1"/>
        <v>4951.4300000000012</v>
      </c>
      <c r="H33" s="81" t="s">
        <v>168</v>
      </c>
      <c r="I33" s="11">
        <f>SUMIF('01 Income and Expenses'!J:J,'02 Bank'!H33,'01 Income and Expenses'!G:G)-SUMIF('01 Income and Expenses'!J:J,'02 Bank'!H33,'01 Income and Expenses'!F:F)+E33-F33</f>
        <v>0</v>
      </c>
    </row>
    <row r="34" spans="1:9" x14ac:dyDescent="0.25">
      <c r="A34" s="3">
        <v>80795</v>
      </c>
      <c r="B34" t="s">
        <v>152</v>
      </c>
      <c r="C34" s="1" t="s">
        <v>17</v>
      </c>
      <c r="D34" s="1" t="s">
        <v>151</v>
      </c>
      <c r="E34" s="9">
        <v>217</v>
      </c>
      <c r="F34" s="4"/>
      <c r="G34" s="4">
        <f t="shared" si="1"/>
        <v>4734.4300000000012</v>
      </c>
      <c r="H34" s="4" t="s">
        <v>172</v>
      </c>
      <c r="I34" s="11">
        <f>SUMIF('01 Income and Expenses'!J:J,'02 Bank'!H34,'01 Income and Expenses'!G:G)-SUMIF('01 Income and Expenses'!J:J,'02 Bank'!H34,'01 Income and Expenses'!F:F)+E34-F34</f>
        <v>0</v>
      </c>
    </row>
    <row r="35" spans="1:9" x14ac:dyDescent="0.25">
      <c r="A35" s="3">
        <v>44287</v>
      </c>
      <c r="B35" t="s">
        <v>70</v>
      </c>
      <c r="D35" s="38"/>
      <c r="E35" s="4"/>
      <c r="F35" s="4">
        <v>148.19999999999999</v>
      </c>
      <c r="G35" s="4">
        <f t="shared" si="1"/>
        <v>4882.630000000001</v>
      </c>
      <c r="H35" s="4" t="s">
        <v>177</v>
      </c>
      <c r="I35" s="11">
        <f>SUMIF('01 Income and Expenses'!J:J,'02 Bank'!H35,'01 Income and Expenses'!G:G)-SUMIF('01 Income and Expenses'!J:J,'02 Bank'!H35,'01 Income and Expenses'!F:F)+E35-F35</f>
        <v>0</v>
      </c>
    </row>
    <row r="36" spans="1:9" x14ac:dyDescent="0.25">
      <c r="A36" s="3">
        <v>44314</v>
      </c>
      <c r="B36" t="s">
        <v>138</v>
      </c>
      <c r="D36" s="38"/>
      <c r="E36" s="4"/>
      <c r="F36" s="4">
        <v>400</v>
      </c>
      <c r="G36" s="4">
        <f t="shared" si="1"/>
        <v>5282.630000000001</v>
      </c>
      <c r="H36" s="4" t="s">
        <v>178</v>
      </c>
      <c r="I36" s="11">
        <f>SUMIF('01 Income and Expenses'!J:J,'02 Bank'!H36,'01 Income and Expenses'!G:G)-SUMIF('01 Income and Expenses'!J:J,'02 Bank'!H36,'01 Income and Expenses'!F:F)+E36-F36</f>
        <v>0</v>
      </c>
    </row>
    <row r="37" spans="1:9" x14ac:dyDescent="0.25">
      <c r="A37" s="3">
        <v>44130</v>
      </c>
      <c r="B37" t="s">
        <v>82</v>
      </c>
      <c r="C37" t="s">
        <v>14</v>
      </c>
      <c r="D37" s="9"/>
      <c r="E37" s="4"/>
      <c r="F37" s="83">
        <v>100</v>
      </c>
      <c r="G37" s="4">
        <f t="shared" si="1"/>
        <v>5382.630000000001</v>
      </c>
      <c r="H37" s="1" t="s">
        <v>181</v>
      </c>
      <c r="I37" s="11">
        <f>SUMIF('01 Income and Expenses'!J:J,'02 Bank'!H37,'01 Income and Expenses'!G:G)-SUMIF('01 Income and Expenses'!J:J,'02 Bank'!H37,'01 Income and Expenses'!F:F)+E37-F37</f>
        <v>0</v>
      </c>
    </row>
    <row r="38" spans="1:9" x14ac:dyDescent="0.25">
      <c r="A38" s="3">
        <v>44231</v>
      </c>
      <c r="B38" t="s">
        <v>139</v>
      </c>
      <c r="D38" s="9"/>
      <c r="E38" s="4"/>
      <c r="F38" s="4">
        <v>100</v>
      </c>
      <c r="G38" s="4">
        <f t="shared" si="1"/>
        <v>5482.630000000001</v>
      </c>
      <c r="H38" s="1" t="s">
        <v>182</v>
      </c>
      <c r="I38" s="11">
        <f>SUMIF('01 Income and Expenses'!J:J,'02 Bank'!H38,'01 Income and Expenses'!G:G)-SUMIF('01 Income and Expenses'!J:J,'02 Bank'!H38,'01 Income and Expenses'!F:F)+E38-F38</f>
        <v>0</v>
      </c>
    </row>
    <row r="39" spans="1:9" x14ac:dyDescent="0.25">
      <c r="A39" s="3">
        <v>44340</v>
      </c>
      <c r="B39" t="s">
        <v>169</v>
      </c>
      <c r="C39" s="1" t="s">
        <v>171</v>
      </c>
      <c r="D39" s="9"/>
      <c r="E39" s="4"/>
      <c r="F39" s="4">
        <v>10.69</v>
      </c>
      <c r="G39" s="4">
        <f t="shared" si="1"/>
        <v>5493.3200000000006</v>
      </c>
      <c r="H39" s="1" t="s">
        <v>183</v>
      </c>
      <c r="I39" s="11">
        <f>SUMIF('01 Income and Expenses'!J:J,'02 Bank'!H39,'01 Income and Expenses'!G:G)-SUMIF('01 Income and Expenses'!J:J,'02 Bank'!H39,'01 Income and Expenses'!F:F)+E39-F39</f>
        <v>0</v>
      </c>
    </row>
    <row r="40" spans="1:9" x14ac:dyDescent="0.25">
      <c r="A40" s="3">
        <v>44386</v>
      </c>
      <c r="B40" t="s">
        <v>199</v>
      </c>
      <c r="C40" s="1" t="s">
        <v>17</v>
      </c>
      <c r="D40" s="9"/>
      <c r="E40" s="4"/>
      <c r="F40" s="4">
        <v>181.39</v>
      </c>
      <c r="G40" s="4">
        <f t="shared" si="1"/>
        <v>5674.7100000000009</v>
      </c>
      <c r="H40" s="1" t="s">
        <v>200</v>
      </c>
      <c r="I40" s="11">
        <f>SUMIF('01 Income and Expenses'!J:J,'02 Bank'!H40,'01 Income and Expenses'!G:G)-SUMIF('01 Income and Expenses'!J:J,'02 Bank'!H40,'01 Income and Expenses'!F:F)+E40-F40</f>
        <v>0</v>
      </c>
    </row>
    <row r="41" spans="1:9" x14ac:dyDescent="0.25">
      <c r="A41" s="3">
        <v>44357</v>
      </c>
      <c r="B41" t="s">
        <v>173</v>
      </c>
      <c r="C41" s="1" t="s">
        <v>17</v>
      </c>
      <c r="D41" s="1" t="s">
        <v>191</v>
      </c>
      <c r="E41" s="9">
        <v>300</v>
      </c>
      <c r="F41" s="4"/>
      <c r="G41" s="4">
        <f t="shared" si="1"/>
        <v>5374.7100000000009</v>
      </c>
      <c r="H41" s="1" t="s">
        <v>201</v>
      </c>
      <c r="I41" s="11">
        <f>SUMIF('01 Income and Expenses'!J:J,'02 Bank'!H41,'01 Income and Expenses'!G:G)-SUMIF('01 Income and Expenses'!J:J,'02 Bank'!H41,'01 Income and Expenses'!F:F)+E41-F41</f>
        <v>0</v>
      </c>
    </row>
    <row r="42" spans="1:9" x14ac:dyDescent="0.25">
      <c r="A42" s="3">
        <v>44357</v>
      </c>
      <c r="B42" t="s">
        <v>190</v>
      </c>
      <c r="C42" s="1" t="s">
        <v>17</v>
      </c>
      <c r="D42" s="1" t="s">
        <v>189</v>
      </c>
      <c r="E42" s="9">
        <v>118.5</v>
      </c>
      <c r="F42" s="4"/>
      <c r="G42" s="4">
        <f t="shared" si="1"/>
        <v>5256.2100000000009</v>
      </c>
      <c r="H42" s="1" t="s">
        <v>202</v>
      </c>
      <c r="I42" s="11">
        <f>SUMIF('01 Income and Expenses'!J:J,'02 Bank'!H42,'01 Income and Expenses'!G:G)-SUMIF('01 Income and Expenses'!J:J,'02 Bank'!H42,'01 Income and Expenses'!F:F)+E42-F42</f>
        <v>0</v>
      </c>
    </row>
    <row r="43" spans="1:9" x14ac:dyDescent="0.25">
      <c r="A43" s="3">
        <v>44364</v>
      </c>
      <c r="B43" t="s">
        <v>194</v>
      </c>
      <c r="C43" s="1" t="s">
        <v>17</v>
      </c>
      <c r="D43" s="9" t="s">
        <v>193</v>
      </c>
      <c r="E43" s="4">
        <v>217</v>
      </c>
      <c r="G43" s="4">
        <f t="shared" si="1"/>
        <v>5039.2100000000009</v>
      </c>
      <c r="H43" s="1" t="s">
        <v>203</v>
      </c>
      <c r="I43" s="11">
        <f>SUMIF('01 Income and Expenses'!J:J,'02 Bank'!H43,'01 Income and Expenses'!G:G)-SUMIF('01 Income and Expenses'!J:J,'02 Bank'!H43,'01 Income and Expenses'!F:F)+E43-F43</f>
        <v>0</v>
      </c>
    </row>
    <row r="44" spans="1:9" x14ac:dyDescent="0.25">
      <c r="A44" s="3">
        <v>44364</v>
      </c>
      <c r="B44" t="s">
        <v>198</v>
      </c>
      <c r="C44" s="1" t="s">
        <v>17</v>
      </c>
      <c r="D44" s="9" t="s">
        <v>196</v>
      </c>
      <c r="E44" s="4">
        <v>330</v>
      </c>
      <c r="G44" s="4">
        <f t="shared" si="1"/>
        <v>4709.2100000000009</v>
      </c>
      <c r="H44" s="1" t="s">
        <v>205</v>
      </c>
      <c r="I44" s="11"/>
    </row>
    <row r="45" spans="1:9" x14ac:dyDescent="0.25">
      <c r="A45" s="3">
        <v>44357</v>
      </c>
      <c r="B45" t="s">
        <v>187</v>
      </c>
      <c r="C45" s="1" t="s">
        <v>17</v>
      </c>
      <c r="D45" s="9" t="s">
        <v>185</v>
      </c>
      <c r="E45" s="4">
        <v>493.5</v>
      </c>
      <c r="G45" s="4">
        <f t="shared" si="1"/>
        <v>4215.7100000000009</v>
      </c>
      <c r="H45" s="1" t="s">
        <v>204</v>
      </c>
      <c r="I45" s="11"/>
    </row>
    <row r="46" spans="1:9" x14ac:dyDescent="0.25">
      <c r="A46" s="3">
        <v>44357</v>
      </c>
      <c r="B46" t="s">
        <v>141</v>
      </c>
      <c r="C46" s="1" t="s">
        <v>17</v>
      </c>
      <c r="D46" s="9" t="s">
        <v>185</v>
      </c>
      <c r="E46" s="4">
        <v>1741.41</v>
      </c>
      <c r="G46" s="4">
        <f t="shared" si="1"/>
        <v>2474.3000000000011</v>
      </c>
      <c r="H46" s="1" t="s">
        <v>204</v>
      </c>
      <c r="I46" s="11"/>
    </row>
    <row r="47" spans="1:9" x14ac:dyDescent="0.25">
      <c r="A47" s="3">
        <v>44357</v>
      </c>
      <c r="B47" t="s">
        <v>186</v>
      </c>
      <c r="C47" s="1" t="s">
        <v>17</v>
      </c>
      <c r="D47" s="9" t="s">
        <v>185</v>
      </c>
      <c r="E47" s="4">
        <v>88</v>
      </c>
      <c r="G47" s="4">
        <f t="shared" si="1"/>
        <v>2386.3000000000011</v>
      </c>
      <c r="H47" s="1" t="s">
        <v>204</v>
      </c>
      <c r="I47" s="11"/>
    </row>
    <row r="48" spans="1:9" x14ac:dyDescent="0.25">
      <c r="A48" s="3">
        <v>44400</v>
      </c>
      <c r="B48" t="s">
        <v>207</v>
      </c>
      <c r="C48" s="1" t="s">
        <v>14</v>
      </c>
      <c r="D48" s="9"/>
      <c r="E48" s="4"/>
      <c r="F48" s="4">
        <v>174.6</v>
      </c>
      <c r="G48" s="4">
        <f t="shared" si="1"/>
        <v>2560.900000000001</v>
      </c>
      <c r="H48" s="1" t="s">
        <v>206</v>
      </c>
      <c r="I48" s="11"/>
    </row>
    <row r="49" spans="1:9" x14ac:dyDescent="0.25">
      <c r="A49" s="3">
        <v>44425</v>
      </c>
      <c r="B49" t="s">
        <v>169</v>
      </c>
      <c r="C49" s="1" t="s">
        <v>171</v>
      </c>
      <c r="D49" s="9"/>
      <c r="E49" s="4"/>
      <c r="F49" s="4">
        <v>14.29</v>
      </c>
      <c r="G49" s="4">
        <f t="shared" si="1"/>
        <v>2575.190000000001</v>
      </c>
      <c r="H49" s="1" t="s">
        <v>208</v>
      </c>
      <c r="I49" s="11"/>
    </row>
    <row r="50" spans="1:9" x14ac:dyDescent="0.25">
      <c r="A50" s="3">
        <v>44431</v>
      </c>
      <c r="B50" t="s">
        <v>213</v>
      </c>
      <c r="C50" s="1" t="s">
        <v>171</v>
      </c>
      <c r="D50" s="9"/>
      <c r="E50" s="4"/>
      <c r="F50" s="4">
        <v>60</v>
      </c>
      <c r="G50" s="4">
        <f t="shared" si="1"/>
        <v>2635.190000000001</v>
      </c>
      <c r="H50" s="1" t="s">
        <v>214</v>
      </c>
      <c r="I50" s="11"/>
    </row>
    <row r="51" spans="1:9" x14ac:dyDescent="0.25">
      <c r="A51" s="3">
        <v>44435</v>
      </c>
      <c r="B51" t="s">
        <v>216</v>
      </c>
      <c r="C51" s="1" t="s">
        <v>171</v>
      </c>
      <c r="D51" s="9"/>
      <c r="E51" s="4"/>
      <c r="F51" s="4">
        <v>1000</v>
      </c>
      <c r="G51" s="4">
        <f t="shared" si="1"/>
        <v>3635.190000000001</v>
      </c>
      <c r="H51" s="1" t="s">
        <v>215</v>
      </c>
      <c r="I51" s="11"/>
    </row>
    <row r="52" spans="1:9" x14ac:dyDescent="0.25">
      <c r="A52" s="3">
        <v>44439</v>
      </c>
      <c r="B52" t="s">
        <v>155</v>
      </c>
      <c r="C52" s="1" t="s">
        <v>14</v>
      </c>
      <c r="D52" s="9"/>
      <c r="E52" s="4"/>
      <c r="F52" s="4">
        <v>247.96</v>
      </c>
      <c r="G52" s="4">
        <f t="shared" si="1"/>
        <v>3883.150000000001</v>
      </c>
      <c r="H52" s="1" t="s">
        <v>222</v>
      </c>
      <c r="I52" s="11"/>
    </row>
    <row r="53" spans="1:9" x14ac:dyDescent="0.25">
      <c r="A53" s="70"/>
      <c r="B53" s="71"/>
      <c r="C53" s="71"/>
      <c r="D53" s="76"/>
      <c r="E53" s="73"/>
      <c r="F53" s="71"/>
      <c r="G53" s="73">
        <f t="shared" si="1"/>
        <v>3883.150000000001</v>
      </c>
      <c r="H53" s="77"/>
      <c r="I53" s="74">
        <f>SUMIF('01 Income and Expenses'!J:J,'02 Bank'!H53,'01 Income and Expenses'!G:G)-SUMIF('01 Income and Expenses'!J:J,'02 Bank'!H53,'01 Income and Expenses'!F:F)+E53-F53</f>
        <v>0</v>
      </c>
    </row>
    <row r="54" spans="1:9" x14ac:dyDescent="0.25">
      <c r="A54" s="5" t="s">
        <v>66</v>
      </c>
      <c r="B54" s="5"/>
      <c r="C54" s="75"/>
      <c r="D54" s="15"/>
      <c r="E54" s="15"/>
      <c r="F54" s="15"/>
      <c r="G54" s="4">
        <f t="shared" si="1"/>
        <v>3883.150000000001</v>
      </c>
      <c r="H54" s="11"/>
    </row>
    <row r="55" spans="1:9" x14ac:dyDescent="0.25">
      <c r="G55" s="4"/>
    </row>
  </sheetData>
  <autoFilter ref="A8:J55" xr:uid="{6DF08245-661A-433E-BFA3-96954A0150C0}"/>
  <sortState xmlns:xlrd2="http://schemas.microsoft.com/office/spreadsheetml/2017/richdata2" ref="A26:F34">
    <sortCondition ref="A26:A34"/>
  </sortState>
  <phoneticPr fontId="4" type="noConversion"/>
  <pageMargins left="0.7" right="0.7" top="0.75" bottom="0.75" header="0.3" footer="0.3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078D-269F-4AF7-ADBD-C212350F47AF}">
  <dimension ref="A1:J48"/>
  <sheetViews>
    <sheetView workbookViewId="0">
      <selection activeCell="B1" sqref="B1"/>
    </sheetView>
  </sheetViews>
  <sheetFormatPr defaultColWidth="0" defaultRowHeight="15" x14ac:dyDescent="0.25"/>
  <cols>
    <col min="1" max="1" width="11.5703125" customWidth="1"/>
    <col min="2" max="2" width="53.85546875" bestFit="1" customWidth="1"/>
    <col min="3" max="3" width="13.42578125" style="1" customWidth="1"/>
    <col min="4" max="8" width="15.7109375" customWidth="1"/>
    <col min="9" max="9" width="3.7109375" customWidth="1"/>
    <col min="10" max="10" width="0" hidden="1" customWidth="1"/>
    <col min="11" max="16384" width="9.140625" hidden="1"/>
  </cols>
  <sheetData>
    <row r="1" spans="1:8" x14ac:dyDescent="0.25">
      <c r="F1" s="4"/>
    </row>
    <row r="2" spans="1:8" x14ac:dyDescent="0.25">
      <c r="F2" s="4"/>
    </row>
    <row r="3" spans="1:8" x14ac:dyDescent="0.25">
      <c r="F3" s="4"/>
    </row>
    <row r="4" spans="1:8" x14ac:dyDescent="0.25">
      <c r="F4" s="39"/>
    </row>
    <row r="5" spans="1:8" ht="6.75" customHeight="1" x14ac:dyDescent="0.25"/>
    <row r="6" spans="1:8" x14ac:dyDescent="0.25">
      <c r="A6" s="5" t="s">
        <v>26</v>
      </c>
    </row>
    <row r="7" spans="1:8" x14ac:dyDescent="0.25">
      <c r="A7" s="5" t="s">
        <v>30</v>
      </c>
    </row>
    <row r="8" spans="1:8" ht="29.25" customHeight="1" x14ac:dyDescent="0.25">
      <c r="A8" s="16" t="s">
        <v>1</v>
      </c>
      <c r="B8" s="7" t="s">
        <v>0</v>
      </c>
      <c r="C8" s="7" t="s">
        <v>15</v>
      </c>
      <c r="D8" s="8" t="s">
        <v>28</v>
      </c>
      <c r="E8" s="8" t="s">
        <v>29</v>
      </c>
      <c r="F8" s="8" t="s">
        <v>13</v>
      </c>
      <c r="G8" s="7" t="s">
        <v>18</v>
      </c>
      <c r="H8" s="7" t="s">
        <v>19</v>
      </c>
    </row>
    <row r="9" spans="1:8" x14ac:dyDescent="0.25">
      <c r="A9" s="13">
        <v>44074</v>
      </c>
      <c r="B9" s="5" t="s">
        <v>11</v>
      </c>
      <c r="C9" s="14"/>
      <c r="D9" s="15"/>
      <c r="E9" s="15"/>
      <c r="F9" s="15">
        <v>274.39</v>
      </c>
      <c r="G9" s="15"/>
      <c r="H9" s="14"/>
    </row>
    <row r="10" spans="1:8" x14ac:dyDescent="0.25">
      <c r="A10" s="3">
        <v>44123</v>
      </c>
      <c r="B10" t="s">
        <v>78</v>
      </c>
      <c r="D10" s="4">
        <v>24.2</v>
      </c>
      <c r="E10" s="4"/>
      <c r="F10" s="4">
        <f>F9-D10+E10</f>
        <v>250.19</v>
      </c>
      <c r="G10" s="4" t="s">
        <v>68</v>
      </c>
      <c r="H10" s="11">
        <f>SUMIF('01 Income and Expenses'!J:J,'03 Petty Cash'!G10,'01 Income and Expenses'!G:G)-SUMIF('01 Income and Expenses'!J:J,'03 Petty Cash'!G10,'01 Income and Expenses'!F:F)+D10-E10</f>
        <v>0</v>
      </c>
    </row>
    <row r="11" spans="1:8" x14ac:dyDescent="0.25">
      <c r="A11" s="3">
        <v>44123</v>
      </c>
      <c r="B11" t="s">
        <v>79</v>
      </c>
      <c r="D11" s="4">
        <v>31</v>
      </c>
      <c r="E11" s="4"/>
      <c r="F11" s="4">
        <f>F10-D11+E11</f>
        <v>219.19</v>
      </c>
      <c r="G11" s="4" t="s">
        <v>80</v>
      </c>
      <c r="H11" s="11">
        <f>SUMIF('01 Income and Expenses'!J:J,'03 Petty Cash'!G11,'01 Income and Expenses'!G:G)-SUMIF('01 Income and Expenses'!J:J,'03 Petty Cash'!G11,'01 Income and Expenses'!F:F)+D11-E11</f>
        <v>0</v>
      </c>
    </row>
    <row r="12" spans="1:8" x14ac:dyDescent="0.25">
      <c r="A12" s="3">
        <v>44154</v>
      </c>
      <c r="B12" t="s">
        <v>20</v>
      </c>
      <c r="D12" s="4"/>
      <c r="E12" s="4">
        <v>475.51</v>
      </c>
      <c r="F12" s="4">
        <f>F11-D12+E12</f>
        <v>694.7</v>
      </c>
      <c r="G12" s="4" t="s">
        <v>97</v>
      </c>
      <c r="H12" s="11">
        <f>SUMIF('01 Income and Expenses'!J:J,'03 Petty Cash'!G12,'01 Income and Expenses'!G:G)-SUMIF('01 Income and Expenses'!J:J,'03 Petty Cash'!G12,'01 Income and Expenses'!F:F)+D12-E12</f>
        <v>0</v>
      </c>
    </row>
    <row r="13" spans="1:8" x14ac:dyDescent="0.25">
      <c r="A13" s="3">
        <v>44147</v>
      </c>
      <c r="B13" t="s">
        <v>98</v>
      </c>
      <c r="C13"/>
      <c r="D13" s="4">
        <v>19.760000000000002</v>
      </c>
      <c r="E13" s="4"/>
      <c r="F13" s="4">
        <f t="shared" ref="F13:F20" si="0">F12-D13+E13</f>
        <v>674.94</v>
      </c>
      <c r="G13" s="4" t="s">
        <v>99</v>
      </c>
      <c r="H13" s="11">
        <f>SUMIF('01 Income and Expenses'!J:J,'03 Petty Cash'!G13,'01 Income and Expenses'!G:G)-SUMIF('01 Income and Expenses'!J:J,'03 Petty Cash'!G13,'01 Income and Expenses'!F:F)+D13-E13</f>
        <v>0</v>
      </c>
    </row>
    <row r="14" spans="1:8" x14ac:dyDescent="0.25">
      <c r="A14" s="3">
        <v>44147</v>
      </c>
      <c r="B14" t="s">
        <v>100</v>
      </c>
      <c r="D14" s="40">
        <v>60</v>
      </c>
      <c r="E14" s="4"/>
      <c r="F14" s="4">
        <f t="shared" si="0"/>
        <v>614.94000000000005</v>
      </c>
      <c r="G14" s="4" t="s">
        <v>101</v>
      </c>
      <c r="H14" s="11">
        <f>SUMIF('01 Income and Expenses'!J:J,'03 Petty Cash'!G14,'01 Income and Expenses'!G:G)-SUMIF('01 Income and Expenses'!J:J,'03 Petty Cash'!G14,'01 Income and Expenses'!F:F)+D14-E14</f>
        <v>0</v>
      </c>
    </row>
    <row r="15" spans="1:8" x14ac:dyDescent="0.25">
      <c r="A15" s="3">
        <v>44159</v>
      </c>
      <c r="B15" t="s">
        <v>100</v>
      </c>
      <c r="D15" s="40">
        <f>10+15+40+60+50+10</f>
        <v>185</v>
      </c>
      <c r="E15" s="4"/>
      <c r="F15" s="4">
        <f t="shared" si="0"/>
        <v>429.94000000000005</v>
      </c>
      <c r="G15" s="4" t="s">
        <v>102</v>
      </c>
      <c r="H15" s="11">
        <f>SUMIF('01 Income and Expenses'!J:J,'03 Petty Cash'!G15,'01 Income and Expenses'!G:G)-SUMIF('01 Income and Expenses'!J:J,'03 Petty Cash'!G15,'01 Income and Expenses'!F:F)+D15-E15</f>
        <v>0</v>
      </c>
    </row>
    <row r="16" spans="1:8" x14ac:dyDescent="0.25">
      <c r="A16" s="3">
        <v>44161</v>
      </c>
      <c r="B16" t="s">
        <v>105</v>
      </c>
      <c r="D16" s="40"/>
      <c r="E16" s="4">
        <v>48.1</v>
      </c>
      <c r="F16" s="4">
        <f t="shared" si="0"/>
        <v>478.04000000000008</v>
      </c>
      <c r="G16" s="4" t="s">
        <v>103</v>
      </c>
      <c r="H16" s="11">
        <f>SUMIF('01 Income and Expenses'!J:J,'03 Petty Cash'!G16,'01 Income and Expenses'!G:G)-SUMIF('01 Income and Expenses'!J:J,'03 Petty Cash'!G16,'01 Income and Expenses'!F:F)+D16-E16</f>
        <v>0</v>
      </c>
    </row>
    <row r="17" spans="1:8" x14ac:dyDescent="0.25">
      <c r="A17" s="3">
        <v>44161</v>
      </c>
      <c r="B17" t="s">
        <v>107</v>
      </c>
      <c r="D17" s="4">
        <v>27.92</v>
      </c>
      <c r="E17" s="4"/>
      <c r="F17" s="4">
        <f t="shared" si="0"/>
        <v>450.12000000000006</v>
      </c>
      <c r="G17" s="4" t="s">
        <v>104</v>
      </c>
      <c r="H17" s="11">
        <f>SUMIF('01 Income and Expenses'!J:J,'03 Petty Cash'!G17,'01 Income and Expenses'!G:G)-SUMIF('01 Income and Expenses'!J:J,'03 Petty Cash'!G17,'01 Income and Expenses'!F:F)+D17-E17</f>
        <v>0</v>
      </c>
    </row>
    <row r="18" spans="1:8" x14ac:dyDescent="0.25">
      <c r="A18" s="3">
        <v>44168</v>
      </c>
      <c r="B18" t="s">
        <v>100</v>
      </c>
      <c r="D18" s="4">
        <v>185</v>
      </c>
      <c r="E18" s="4"/>
      <c r="F18" s="4">
        <f t="shared" si="0"/>
        <v>265.12000000000006</v>
      </c>
      <c r="G18" s="4" t="s">
        <v>108</v>
      </c>
      <c r="H18" s="11">
        <f>SUMIF('01 Income and Expenses'!J:J,'03 Petty Cash'!G18,'01 Income and Expenses'!G:G)-SUMIF('01 Income and Expenses'!J:J,'03 Petty Cash'!G18,'01 Income and Expenses'!F:F)+D18-E18</f>
        <v>0</v>
      </c>
    </row>
    <row r="19" spans="1:8" x14ac:dyDescent="0.25">
      <c r="A19" s="3">
        <v>44175</v>
      </c>
      <c r="B19" t="s">
        <v>100</v>
      </c>
      <c r="D19" s="4">
        <v>85</v>
      </c>
      <c r="E19" s="40"/>
      <c r="F19" s="4">
        <f t="shared" si="0"/>
        <v>180.12000000000006</v>
      </c>
      <c r="G19" s="4" t="s">
        <v>116</v>
      </c>
      <c r="H19" s="11">
        <f>SUMIF('01 Income and Expenses'!J:J,'03 Petty Cash'!G19,'01 Income and Expenses'!G:G)-SUMIF('01 Income and Expenses'!J:J,'03 Petty Cash'!G19,'01 Income and Expenses'!F:F)+D19-E19</f>
        <v>0</v>
      </c>
    </row>
    <row r="20" spans="1:8" x14ac:dyDescent="0.25">
      <c r="A20" s="3">
        <v>44182</v>
      </c>
      <c r="B20" t="s">
        <v>100</v>
      </c>
      <c r="D20" s="4">
        <v>60</v>
      </c>
      <c r="E20" s="40"/>
      <c r="F20" s="4">
        <f t="shared" si="0"/>
        <v>120.12000000000006</v>
      </c>
      <c r="G20" s="4" t="s">
        <v>117</v>
      </c>
      <c r="H20" s="11">
        <f>SUMIF('01 Income and Expenses'!J:J,'03 Petty Cash'!G20,'01 Income and Expenses'!G:G)-SUMIF('01 Income and Expenses'!J:J,'03 Petty Cash'!G20,'01 Income and Expenses'!F:F)+D20-E20</f>
        <v>0</v>
      </c>
    </row>
    <row r="21" spans="1:8" x14ac:dyDescent="0.25">
      <c r="A21" s="3">
        <v>44182</v>
      </c>
      <c r="B21" t="s">
        <v>118</v>
      </c>
      <c r="D21" s="4"/>
      <c r="E21" s="40">
        <v>68</v>
      </c>
      <c r="F21" s="4">
        <f t="shared" ref="F21:F23" si="1">F20-D21+E21</f>
        <v>188.12000000000006</v>
      </c>
      <c r="G21" s="4" t="s">
        <v>119</v>
      </c>
      <c r="H21" s="11">
        <f>SUMIF('01 Income and Expenses'!J:J,'03 Petty Cash'!G21,'01 Income and Expenses'!G:G)-SUMIF('01 Income and Expenses'!J:J,'03 Petty Cash'!G21,'01 Income and Expenses'!F:F)+D21-E21</f>
        <v>0</v>
      </c>
    </row>
    <row r="22" spans="1:8" x14ac:dyDescent="0.25">
      <c r="A22" s="3">
        <v>44183</v>
      </c>
      <c r="B22" t="s">
        <v>120</v>
      </c>
      <c r="D22" s="4"/>
      <c r="E22" s="40">
        <v>302.5</v>
      </c>
      <c r="F22" s="4">
        <f t="shared" si="1"/>
        <v>490.62000000000006</v>
      </c>
      <c r="G22" s="4" t="s">
        <v>121</v>
      </c>
      <c r="H22" s="11">
        <f>SUMIF('01 Income and Expenses'!J:J,'03 Petty Cash'!G22,'01 Income and Expenses'!G:G)-SUMIF('01 Income and Expenses'!J:J,'03 Petty Cash'!G22,'01 Income and Expenses'!F:F)+D22-E22</f>
        <v>0</v>
      </c>
    </row>
    <row r="23" spans="1:8" x14ac:dyDescent="0.25">
      <c r="A23" s="3">
        <v>44200</v>
      </c>
      <c r="B23" t="s">
        <v>100</v>
      </c>
      <c r="D23" s="4">
        <v>60</v>
      </c>
      <c r="E23" s="40"/>
      <c r="F23" s="4">
        <f t="shared" si="1"/>
        <v>430.62000000000006</v>
      </c>
      <c r="G23" s="4" t="s">
        <v>122</v>
      </c>
      <c r="H23" s="11">
        <f>SUMIF('01 Income and Expenses'!J:J,'03 Petty Cash'!G23,'01 Income and Expenses'!G:G)-SUMIF('01 Income and Expenses'!J:J,'03 Petty Cash'!G23,'01 Income and Expenses'!F:F)+D23-E23</f>
        <v>0</v>
      </c>
    </row>
    <row r="24" spans="1:8" x14ac:dyDescent="0.25">
      <c r="A24" s="87">
        <v>44262</v>
      </c>
      <c r="B24" s="88" t="s">
        <v>100</v>
      </c>
      <c r="C24" s="89"/>
      <c r="D24" s="40">
        <f>810-735+24.5</f>
        <v>99.5</v>
      </c>
      <c r="E24" s="40"/>
      <c r="F24" s="4">
        <f t="shared" ref="F24" si="2">F23-D24+E24</f>
        <v>331.12000000000006</v>
      </c>
      <c r="G24" s="4" t="s">
        <v>140</v>
      </c>
      <c r="H24" s="11">
        <f>SUMIF('01 Income and Expenses'!J:J,'03 Petty Cash'!G24,'01 Income and Expenses'!G:G)-SUMIF('01 Income and Expenses'!J:J,'03 Petty Cash'!G24,'01 Income and Expenses'!F:F)+D24-E24</f>
        <v>0</v>
      </c>
    </row>
    <row r="25" spans="1:8" x14ac:dyDescent="0.25">
      <c r="A25" s="3">
        <v>44259</v>
      </c>
      <c r="B25" t="s">
        <v>143</v>
      </c>
      <c r="D25" s="4">
        <v>280</v>
      </c>
      <c r="E25" s="40"/>
      <c r="F25" s="4">
        <f t="shared" ref="F25:F35" si="3">F24-D25+E25</f>
        <v>51.120000000000061</v>
      </c>
      <c r="G25" s="4"/>
      <c r="H25" s="11"/>
    </row>
    <row r="26" spans="1:8" x14ac:dyDescent="0.25">
      <c r="A26" s="3">
        <v>44289</v>
      </c>
      <c r="B26" t="s">
        <v>156</v>
      </c>
      <c r="D26" s="4"/>
      <c r="E26" s="40">
        <v>97</v>
      </c>
      <c r="F26" s="4">
        <f t="shared" si="3"/>
        <v>148.12000000000006</v>
      </c>
      <c r="G26" s="4" t="s">
        <v>142</v>
      </c>
      <c r="H26" s="11">
        <f>SUMIF('01 Income and Expenses'!J:J,'03 Petty Cash'!G26,'01 Income and Expenses'!G:G)-SUMIF('01 Income and Expenses'!J:J,'03 Petty Cash'!G26,'01 Income and Expenses'!F:F)+D26-E26</f>
        <v>0</v>
      </c>
    </row>
    <row r="27" spans="1:8" x14ac:dyDescent="0.25">
      <c r="A27" s="3">
        <v>44274</v>
      </c>
      <c r="B27" t="s">
        <v>158</v>
      </c>
      <c r="D27" s="4">
        <v>19.920000000000002</v>
      </c>
      <c r="E27" s="40"/>
      <c r="F27" s="4">
        <f t="shared" si="3"/>
        <v>128.20000000000005</v>
      </c>
      <c r="G27" s="4" t="s">
        <v>157</v>
      </c>
      <c r="H27" s="11">
        <f>SUMIF('01 Income and Expenses'!J:J,'03 Petty Cash'!G27,'01 Income and Expenses'!G:G)-SUMIF('01 Income and Expenses'!J:J,'03 Petty Cash'!G27,'01 Income and Expenses'!F:F)+D27-E27</f>
        <v>0</v>
      </c>
    </row>
    <row r="28" spans="1:8" x14ac:dyDescent="0.25">
      <c r="A28" s="3">
        <v>44289</v>
      </c>
      <c r="B28" t="s">
        <v>160</v>
      </c>
      <c r="D28" s="4">
        <v>30</v>
      </c>
      <c r="E28" s="40"/>
      <c r="F28" s="4">
        <f t="shared" si="3"/>
        <v>98.200000000000045</v>
      </c>
      <c r="G28" s="4" t="s">
        <v>159</v>
      </c>
      <c r="H28" s="11">
        <f>SUMIF('01 Income and Expenses'!J:J,'03 Petty Cash'!G28,'01 Income and Expenses'!G:G)-SUMIF('01 Income and Expenses'!J:J,'03 Petty Cash'!G28,'01 Income and Expenses'!F:F)+D28-E28</f>
        <v>0</v>
      </c>
    </row>
    <row r="29" spans="1:8" x14ac:dyDescent="0.25">
      <c r="A29" s="3">
        <v>44343</v>
      </c>
      <c r="B29" t="s">
        <v>175</v>
      </c>
      <c r="D29" s="4"/>
      <c r="E29" s="40">
        <v>350.9</v>
      </c>
      <c r="F29" s="4">
        <f t="shared" si="3"/>
        <v>449.1</v>
      </c>
      <c r="G29" s="4" t="s">
        <v>161</v>
      </c>
      <c r="H29" s="11">
        <f>SUMIF('01 Income and Expenses'!J:J,'03 Petty Cash'!G29,'01 Income and Expenses'!G:G)-SUMIF('01 Income and Expenses'!J:J,'03 Petty Cash'!G29,'01 Income and Expenses'!F:F)+D29-E29</f>
        <v>0</v>
      </c>
    </row>
    <row r="30" spans="1:8" x14ac:dyDescent="0.25">
      <c r="A30" s="3">
        <v>44394</v>
      </c>
      <c r="B30" t="s">
        <v>211</v>
      </c>
      <c r="D30" s="40">
        <v>18.25</v>
      </c>
      <c r="E30" s="40"/>
      <c r="F30" s="4">
        <f t="shared" si="3"/>
        <v>430.85</v>
      </c>
      <c r="G30" s="4" t="s">
        <v>176</v>
      </c>
      <c r="H30" s="11">
        <f>SUMIF('01 Income and Expenses'!J:J,'03 Petty Cash'!G30,'01 Income and Expenses'!G:G)-SUMIF('01 Income and Expenses'!J:J,'03 Petty Cash'!G30,'01 Income and Expenses'!F:F)+D30-E30</f>
        <v>0</v>
      </c>
    </row>
    <row r="31" spans="1:8" x14ac:dyDescent="0.25">
      <c r="A31" s="3">
        <v>44398</v>
      </c>
      <c r="B31" t="s">
        <v>212</v>
      </c>
      <c r="D31" s="4">
        <v>32</v>
      </c>
      <c r="E31" s="40"/>
      <c r="F31" s="4">
        <f t="shared" si="3"/>
        <v>398.85</v>
      </c>
      <c r="G31" s="4" t="s">
        <v>210</v>
      </c>
      <c r="H31" s="11">
        <f>SUMIF('01 Income and Expenses'!J:J,'03 Petty Cash'!G31,'01 Income and Expenses'!G:G)-SUMIF('01 Income and Expenses'!J:J,'03 Petty Cash'!G31,'01 Income and Expenses'!F:F)+D31-E31</f>
        <v>0</v>
      </c>
    </row>
    <row r="32" spans="1:8" x14ac:dyDescent="0.25">
      <c r="A32" s="3">
        <v>44439</v>
      </c>
      <c r="B32" t="s">
        <v>217</v>
      </c>
      <c r="D32" s="4">
        <v>247.96</v>
      </c>
      <c r="E32" s="40"/>
      <c r="F32" s="4">
        <f t="shared" si="3"/>
        <v>150.89000000000001</v>
      </c>
      <c r="G32" s="4" t="s">
        <v>219</v>
      </c>
      <c r="H32" s="11"/>
    </row>
    <row r="33" spans="1:8" x14ac:dyDescent="0.25">
      <c r="A33" s="3">
        <v>44439</v>
      </c>
      <c r="B33" t="s">
        <v>218</v>
      </c>
      <c r="D33" s="4">
        <v>101.9</v>
      </c>
      <c r="E33" s="40"/>
      <c r="F33" s="4">
        <f t="shared" si="3"/>
        <v>48.990000000000009</v>
      </c>
      <c r="G33" s="4" t="s">
        <v>220</v>
      </c>
      <c r="H33" s="11"/>
    </row>
    <row r="34" spans="1:8" x14ac:dyDescent="0.25">
      <c r="A34" s="3">
        <v>44439</v>
      </c>
      <c r="B34" t="s">
        <v>223</v>
      </c>
      <c r="D34" s="4"/>
      <c r="E34" s="40">
        <v>1.01</v>
      </c>
      <c r="F34" s="4">
        <f t="shared" si="3"/>
        <v>50.000000000000007</v>
      </c>
      <c r="G34" s="4" t="s">
        <v>224</v>
      </c>
      <c r="H34" s="11"/>
    </row>
    <row r="35" spans="1:8" x14ac:dyDescent="0.25">
      <c r="A35" s="70"/>
      <c r="B35" s="71"/>
      <c r="C35" s="72"/>
      <c r="D35" s="73"/>
      <c r="E35" s="73"/>
      <c r="F35" s="73">
        <f t="shared" si="3"/>
        <v>50.000000000000007</v>
      </c>
      <c r="G35" s="73"/>
      <c r="H35" s="74">
        <f>SUMIF('01 Income and Expenses'!J:J,'03 Petty Cash'!G35,'01 Income and Expenses'!G:G)-SUMIF('01 Income and Expenses'!J:J,'03 Petty Cash'!G35,'01 Income and Expenses'!F:F)+D35-E35</f>
        <v>0</v>
      </c>
    </row>
    <row r="36" spans="1:8" x14ac:dyDescent="0.25">
      <c r="A36" s="3"/>
      <c r="C36" s="9"/>
      <c r="D36" s="4"/>
      <c r="E36" s="4"/>
      <c r="F36" s="4"/>
      <c r="G36" s="1"/>
      <c r="H36" s="11"/>
    </row>
    <row r="37" spans="1:8" x14ac:dyDescent="0.25">
      <c r="A37" s="3"/>
      <c r="C37" s="9"/>
      <c r="D37" s="4"/>
      <c r="E37" s="4"/>
      <c r="F37" s="4"/>
      <c r="G37" s="1"/>
      <c r="H37" s="11"/>
    </row>
    <row r="38" spans="1:8" x14ac:dyDescent="0.25">
      <c r="A38" s="3"/>
      <c r="C38" s="9"/>
      <c r="D38" s="4"/>
      <c r="E38" s="4"/>
      <c r="F38" s="4"/>
      <c r="G38" s="1"/>
      <c r="H38" s="11"/>
    </row>
    <row r="39" spans="1:8" x14ac:dyDescent="0.25">
      <c r="A39" s="3"/>
      <c r="C39" s="9"/>
      <c r="D39" s="4"/>
      <c r="E39" s="4"/>
      <c r="F39" s="4"/>
      <c r="G39" s="1"/>
      <c r="H39" s="11"/>
    </row>
    <row r="40" spans="1:8" x14ac:dyDescent="0.25">
      <c r="A40" s="3"/>
      <c r="D40" s="4"/>
      <c r="E40" s="4"/>
      <c r="F40" s="4"/>
      <c r="G40" s="1"/>
      <c r="H40" s="11"/>
    </row>
    <row r="41" spans="1:8" x14ac:dyDescent="0.25">
      <c r="A41" s="3"/>
      <c r="D41" s="4"/>
      <c r="E41" s="4"/>
      <c r="F41" s="4"/>
      <c r="G41" s="1"/>
      <c r="H41" s="11"/>
    </row>
    <row r="42" spans="1:8" x14ac:dyDescent="0.25">
      <c r="A42" s="3"/>
      <c r="D42" s="4"/>
      <c r="E42" s="4"/>
      <c r="F42" s="4"/>
      <c r="G42" s="1"/>
      <c r="H42" s="11"/>
    </row>
    <row r="43" spans="1:8" x14ac:dyDescent="0.25">
      <c r="D43" s="4"/>
      <c r="E43" s="4"/>
      <c r="F43" s="4"/>
      <c r="G43" s="2"/>
      <c r="H43" s="2"/>
    </row>
    <row r="44" spans="1:8" x14ac:dyDescent="0.25">
      <c r="D44" s="2"/>
      <c r="E44" s="2"/>
      <c r="F44" s="2"/>
      <c r="G44" s="2"/>
      <c r="H44" s="2"/>
    </row>
    <row r="45" spans="1:8" x14ac:dyDescent="0.25">
      <c r="D45" s="2"/>
      <c r="E45" s="2"/>
      <c r="F45" s="2"/>
      <c r="G45" s="2"/>
      <c r="H45" s="2"/>
    </row>
    <row r="46" spans="1:8" x14ac:dyDescent="0.25">
      <c r="D46" s="2"/>
      <c r="E46" s="2"/>
      <c r="F46" s="2"/>
      <c r="G46" s="2"/>
      <c r="H46" s="2"/>
    </row>
    <row r="47" spans="1:8" x14ac:dyDescent="0.25">
      <c r="D47" s="2"/>
      <c r="E47" s="2"/>
      <c r="F47" s="2"/>
      <c r="G47" s="2"/>
      <c r="H47" s="2"/>
    </row>
    <row r="48" spans="1:8" x14ac:dyDescent="0.25">
      <c r="D48" s="2"/>
      <c r="E48" s="2"/>
      <c r="F48" s="2"/>
      <c r="G48" s="2"/>
      <c r="H48" s="2"/>
    </row>
  </sheetData>
  <autoFilter ref="A8:H35" xr:uid="{16F61C2C-662F-404B-BD62-E49C616ABCEB}"/>
  <phoneticPr fontId="4" type="noConversion"/>
  <pageMargins left="0.7" right="0.7" top="0.75" bottom="0.75" header="0.3" footer="0.3"/>
  <pageSetup paperSize="9" scale="6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782D-F2A6-40B5-9618-F0F67D7517D0}">
  <dimension ref="A5:J27"/>
  <sheetViews>
    <sheetView workbookViewId="0">
      <selection activeCell="B10" sqref="B10"/>
    </sheetView>
  </sheetViews>
  <sheetFormatPr defaultColWidth="0" defaultRowHeight="15" x14ac:dyDescent="0.25"/>
  <cols>
    <col min="1" max="1" width="11.5703125" customWidth="1"/>
    <col min="2" max="2" width="35.85546875" bestFit="1" customWidth="1"/>
    <col min="3" max="3" width="13.42578125" style="1" customWidth="1"/>
    <col min="4" max="8" width="15.7109375" customWidth="1"/>
    <col min="9" max="9" width="3.7109375" customWidth="1"/>
    <col min="10" max="10" width="0" hidden="1" customWidth="1"/>
    <col min="11" max="16384" width="9.140625" hidden="1"/>
  </cols>
  <sheetData>
    <row r="5" spans="1:8" ht="6.75" customHeight="1" x14ac:dyDescent="0.25"/>
    <row r="6" spans="1:8" x14ac:dyDescent="0.25">
      <c r="A6" s="5" t="s">
        <v>26</v>
      </c>
    </row>
    <row r="7" spans="1:8" x14ac:dyDescent="0.25">
      <c r="A7" s="5" t="s">
        <v>33</v>
      </c>
    </row>
    <row r="8" spans="1:8" ht="29.25" customHeight="1" x14ac:dyDescent="0.25">
      <c r="A8" s="16" t="s">
        <v>1</v>
      </c>
      <c r="B8" s="7" t="s">
        <v>0</v>
      </c>
      <c r="C8" s="17" t="s">
        <v>31</v>
      </c>
      <c r="D8" s="8" t="s">
        <v>28</v>
      </c>
      <c r="E8" s="8" t="s">
        <v>29</v>
      </c>
      <c r="F8" s="8" t="s">
        <v>13</v>
      </c>
      <c r="G8" s="7" t="s">
        <v>18</v>
      </c>
      <c r="H8" s="7" t="s">
        <v>19</v>
      </c>
    </row>
    <row r="9" spans="1:8" x14ac:dyDescent="0.25">
      <c r="A9" s="3"/>
      <c r="C9" s="85"/>
      <c r="D9" s="4"/>
      <c r="E9" s="4"/>
      <c r="F9" s="4"/>
      <c r="G9" s="4" t="s">
        <v>179</v>
      </c>
      <c r="H9" s="11">
        <f>SUMIF('01 Income and Expenses'!J:J,'04 Uncleared Cheques'!G9,'01 Income and Expenses'!G:G)-SUMIF('01 Income and Expenses'!J:J,'04 Uncleared Cheques'!G9,'01 Income and Expenses'!F:F)+D9-E9</f>
        <v>0</v>
      </c>
    </row>
    <row r="10" spans="1:8" x14ac:dyDescent="0.25">
      <c r="A10" s="3"/>
      <c r="C10" s="9"/>
      <c r="D10" s="4"/>
      <c r="E10" s="4"/>
      <c r="F10" s="4">
        <f t="shared" ref="F10:F16" si="0">-D10+E10+F9</f>
        <v>0</v>
      </c>
      <c r="G10" s="4" t="s">
        <v>180</v>
      </c>
      <c r="H10" s="11">
        <f>SUMIF('01 Income and Expenses'!J:J,'04 Uncleared Cheques'!G10,'01 Income and Expenses'!G:G)-SUMIF('01 Income and Expenses'!J:J,'04 Uncleared Cheques'!G10,'01 Income and Expenses'!F:F)+D10-E10</f>
        <v>0</v>
      </c>
    </row>
    <row r="11" spans="1:8" x14ac:dyDescent="0.25">
      <c r="A11" s="3"/>
      <c r="C11" s="9"/>
      <c r="D11" s="4"/>
      <c r="E11" s="4"/>
      <c r="F11" s="4">
        <f t="shared" si="0"/>
        <v>0</v>
      </c>
      <c r="G11" s="4" t="s">
        <v>180</v>
      </c>
      <c r="H11" s="11">
        <f>SUMIF('01 Income and Expenses'!J:J,'04 Uncleared Cheques'!G11,'01 Income and Expenses'!G:G)-SUMIF('01 Income and Expenses'!J:J,'04 Uncleared Cheques'!G11,'01 Income and Expenses'!F:F)+D11-E11</f>
        <v>0</v>
      </c>
    </row>
    <row r="12" spans="1:8" x14ac:dyDescent="0.25">
      <c r="A12" s="3"/>
      <c r="C12" s="9"/>
      <c r="D12" s="4"/>
      <c r="E12" s="4"/>
      <c r="F12" s="4">
        <f t="shared" si="0"/>
        <v>0</v>
      </c>
      <c r="G12" s="4" t="s">
        <v>180</v>
      </c>
      <c r="H12" s="11">
        <f>SUMIF('01 Income and Expenses'!J:J,'04 Uncleared Cheques'!G12,'01 Income and Expenses'!G:G)-SUMIF('01 Income and Expenses'!J:J,'04 Uncleared Cheques'!G12,'01 Income and Expenses'!F:F)+D12-E12</f>
        <v>0</v>
      </c>
    </row>
    <row r="13" spans="1:8" x14ac:dyDescent="0.25">
      <c r="A13" s="3"/>
      <c r="C13" s="9"/>
      <c r="D13" s="4"/>
      <c r="E13" s="4"/>
      <c r="F13" s="4">
        <f t="shared" si="0"/>
        <v>0</v>
      </c>
      <c r="G13" s="4" t="s">
        <v>115</v>
      </c>
      <c r="H13" s="11">
        <f>SUMIF('01 Income and Expenses'!J:J,'04 Uncleared Cheques'!G13,'01 Income and Expenses'!G:G)-SUMIF('01 Income and Expenses'!J:J,'04 Uncleared Cheques'!G13,'01 Income and Expenses'!F:F)+D13-E13</f>
        <v>0</v>
      </c>
    </row>
    <row r="14" spans="1:8" x14ac:dyDescent="0.25">
      <c r="A14" s="3"/>
      <c r="B14" s="66"/>
      <c r="C14" s="9"/>
      <c r="D14" s="4"/>
      <c r="E14" s="4"/>
      <c r="F14" s="4">
        <f t="shared" si="0"/>
        <v>0</v>
      </c>
      <c r="G14" s="4" t="s">
        <v>192</v>
      </c>
      <c r="H14" s="11">
        <f>SUMIF('01 Income and Expenses'!J:J,'04 Uncleared Cheques'!G14,'01 Income and Expenses'!G:G)-SUMIF('01 Income and Expenses'!J:J,'04 Uncleared Cheques'!G14,'01 Income and Expenses'!F:F)+D14-E14</f>
        <v>0</v>
      </c>
    </row>
    <row r="15" spans="1:8" x14ac:dyDescent="0.25">
      <c r="A15" s="3"/>
      <c r="C15" s="9"/>
      <c r="D15" s="4"/>
      <c r="E15" s="4"/>
      <c r="F15" s="4">
        <f t="shared" si="0"/>
        <v>0</v>
      </c>
      <c r="G15" s="4" t="s">
        <v>195</v>
      </c>
      <c r="H15" s="11">
        <f>SUMIF('01 Income and Expenses'!J:J,'04 Uncleared Cheques'!G15,'01 Income and Expenses'!G:G)-SUMIF('01 Income and Expenses'!J:J,'04 Uncleared Cheques'!G15,'01 Income and Expenses'!F:F)+D15-E15</f>
        <v>0</v>
      </c>
    </row>
    <row r="16" spans="1:8" x14ac:dyDescent="0.25">
      <c r="A16" s="3"/>
      <c r="C16" s="9"/>
      <c r="D16" s="4"/>
      <c r="E16" s="4"/>
      <c r="F16" s="4">
        <f t="shared" si="0"/>
        <v>0</v>
      </c>
      <c r="G16" s="4" t="s">
        <v>197</v>
      </c>
      <c r="H16" s="11">
        <f>SUMIF('01 Income and Expenses'!J:J,'04 Uncleared Cheques'!G16,'01 Income and Expenses'!G:G)-SUMIF('01 Income and Expenses'!J:J,'04 Uncleared Cheques'!G16,'01 Income and Expenses'!F:F)+D16-E16</f>
        <v>0</v>
      </c>
    </row>
    <row r="17" spans="1:8" x14ac:dyDescent="0.25">
      <c r="A17" s="3"/>
      <c r="C17" s="9"/>
      <c r="D17" s="4"/>
      <c r="E17" s="4"/>
      <c r="F17" s="4"/>
      <c r="G17" s="1"/>
      <c r="H17" s="11"/>
    </row>
    <row r="18" spans="1:8" x14ac:dyDescent="0.25">
      <c r="A18" s="3"/>
      <c r="C18" s="9"/>
      <c r="D18" s="4"/>
      <c r="E18" s="4"/>
      <c r="F18" s="4"/>
      <c r="G18" s="1"/>
      <c r="H18" s="11"/>
    </row>
    <row r="19" spans="1:8" x14ac:dyDescent="0.25">
      <c r="A19" s="3"/>
      <c r="D19" s="4"/>
      <c r="E19" s="4"/>
      <c r="F19" s="4"/>
      <c r="G19" s="1"/>
      <c r="H19" s="11"/>
    </row>
    <row r="20" spans="1:8" x14ac:dyDescent="0.25">
      <c r="A20" s="3"/>
      <c r="D20" s="4"/>
      <c r="E20" s="4"/>
      <c r="F20" s="4"/>
      <c r="G20" s="1"/>
      <c r="H20" s="11"/>
    </row>
    <row r="21" spans="1:8" x14ac:dyDescent="0.25">
      <c r="A21" s="3"/>
      <c r="D21" s="4"/>
      <c r="E21" s="4"/>
      <c r="F21" s="4"/>
      <c r="G21" s="1"/>
      <c r="H21" s="11"/>
    </row>
    <row r="22" spans="1:8" x14ac:dyDescent="0.25">
      <c r="D22" s="4"/>
      <c r="E22" s="4"/>
      <c r="F22" s="4"/>
      <c r="G22" s="2"/>
      <c r="H22" s="2"/>
    </row>
    <row r="23" spans="1:8" x14ac:dyDescent="0.25">
      <c r="D23" s="2"/>
      <c r="E23" s="2"/>
      <c r="F23" s="2"/>
      <c r="G23" s="2"/>
      <c r="H23" s="2"/>
    </row>
    <row r="24" spans="1:8" x14ac:dyDescent="0.25">
      <c r="D24" s="2"/>
      <c r="E24" s="2"/>
      <c r="F24" s="2"/>
      <c r="G24" s="2"/>
      <c r="H24" s="2"/>
    </row>
    <row r="25" spans="1:8" x14ac:dyDescent="0.25">
      <c r="D25" s="2"/>
      <c r="E25" s="2"/>
      <c r="F25" s="2"/>
      <c r="G25" s="2"/>
      <c r="H25" s="2"/>
    </row>
    <row r="26" spans="1:8" x14ac:dyDescent="0.25">
      <c r="D26" s="2"/>
      <c r="E26" s="2"/>
      <c r="F26" s="2"/>
      <c r="G26" s="2"/>
      <c r="H26" s="2"/>
    </row>
    <row r="27" spans="1:8" x14ac:dyDescent="0.25">
      <c r="D27" s="2"/>
      <c r="E27" s="2"/>
      <c r="F27" s="2"/>
      <c r="G27" s="2"/>
      <c r="H27" s="2"/>
    </row>
  </sheetData>
  <pageMargins left="0.7" right="0.7" top="0.75" bottom="0.75" header="0.3" footer="0.3"/>
  <pageSetup paperSize="9" scale="6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E64F-9EC0-442E-858B-DB8A84BC8AB0}">
  <dimension ref="A5:M33"/>
  <sheetViews>
    <sheetView workbookViewId="0"/>
  </sheetViews>
  <sheetFormatPr defaultColWidth="0" defaultRowHeight="15" x14ac:dyDescent="0.25"/>
  <cols>
    <col min="1" max="1" width="11.5703125" customWidth="1"/>
    <col min="2" max="2" width="35.85546875" bestFit="1" customWidth="1"/>
    <col min="3" max="3" width="13.42578125" style="1" customWidth="1"/>
    <col min="4" max="8" width="15.7109375" customWidth="1"/>
    <col min="9" max="9" width="27.28515625" bestFit="1" customWidth="1"/>
    <col min="10" max="10" width="15.7109375" customWidth="1"/>
    <col min="11" max="11" width="3.7109375" customWidth="1"/>
    <col min="12" max="13" width="3.7109375" hidden="1" customWidth="1"/>
    <col min="14" max="16384" width="9.140625" hidden="1"/>
  </cols>
  <sheetData>
    <row r="5" spans="1:10" ht="6.75" customHeight="1" x14ac:dyDescent="0.25"/>
    <row r="6" spans="1:10" x14ac:dyDescent="0.25">
      <c r="A6" s="5" t="s">
        <v>26</v>
      </c>
    </row>
    <row r="7" spans="1:10" x14ac:dyDescent="0.25">
      <c r="A7" s="5" t="s">
        <v>7</v>
      </c>
    </row>
    <row r="8" spans="1:10" ht="29.25" customHeight="1" x14ac:dyDescent="0.25">
      <c r="A8" s="16" t="s">
        <v>1</v>
      </c>
      <c r="B8" s="7" t="s">
        <v>0</v>
      </c>
      <c r="C8" s="7" t="s">
        <v>12</v>
      </c>
      <c r="D8" s="8" t="s">
        <v>28</v>
      </c>
      <c r="E8" s="8" t="s">
        <v>29</v>
      </c>
      <c r="F8" s="8" t="s">
        <v>13</v>
      </c>
      <c r="G8" s="7" t="s">
        <v>18</v>
      </c>
      <c r="H8" s="7" t="s">
        <v>24</v>
      </c>
      <c r="I8" s="7" t="s">
        <v>23</v>
      </c>
      <c r="J8" s="7" t="s">
        <v>19</v>
      </c>
    </row>
    <row r="9" spans="1:10" x14ac:dyDescent="0.25">
      <c r="A9" s="3"/>
      <c r="C9"/>
      <c r="E9" s="4"/>
      <c r="F9" s="4">
        <f>E9</f>
        <v>0</v>
      </c>
      <c r="G9" s="1" t="s">
        <v>86</v>
      </c>
      <c r="H9" s="1" t="s">
        <v>144</v>
      </c>
      <c r="J9" s="11">
        <f>SUMIF('01 Income and Expenses'!J:J,G9,'01 Income and Expenses'!G:G)-SUMIF('01 Income and Expenses'!J:J,G9,'01 Income and Expenses'!F:F)+D9-E9</f>
        <v>0</v>
      </c>
    </row>
    <row r="10" spans="1:10" x14ac:dyDescent="0.25">
      <c r="A10" s="3"/>
      <c r="C10"/>
      <c r="E10" s="4"/>
      <c r="F10" s="4">
        <f>F9+E10-D10</f>
        <v>0</v>
      </c>
      <c r="G10" s="1"/>
      <c r="H10" s="1"/>
      <c r="J10" s="11">
        <f>SUMIF('01 Income and Expenses'!J:J,G10,'01 Income and Expenses'!G:G)-SUMIF('01 Income and Expenses'!J:J,G10,'01 Income and Expenses'!F:F)+D10-E10</f>
        <v>0</v>
      </c>
    </row>
    <row r="11" spans="1:10" x14ac:dyDescent="0.25">
      <c r="A11" s="3"/>
      <c r="C11"/>
      <c r="E11" s="4"/>
      <c r="F11" s="4"/>
      <c r="G11" s="1"/>
      <c r="H11" s="1"/>
      <c r="J11" s="11">
        <f>SUMIF('01 Income and Expenses'!J:J,G11,'01 Income and Expenses'!G:G)-SUMIF('01 Income and Expenses'!J:J,G11,'01 Income and Expenses'!F:F)+D11-E11</f>
        <v>0</v>
      </c>
    </row>
    <row r="12" spans="1:10" x14ac:dyDescent="0.25">
      <c r="A12" s="3"/>
      <c r="C12"/>
      <c r="D12" s="4"/>
      <c r="E12" s="4"/>
      <c r="F12" s="4"/>
      <c r="G12" s="1"/>
      <c r="H12" s="1"/>
      <c r="J12" s="11"/>
    </row>
    <row r="13" spans="1:10" x14ac:dyDescent="0.25">
      <c r="A13" s="3"/>
      <c r="C13" s="9"/>
      <c r="D13" s="4"/>
      <c r="E13" s="4"/>
      <c r="F13" s="4"/>
      <c r="G13" s="4"/>
      <c r="H13" s="4"/>
      <c r="I13" s="4"/>
      <c r="J13" s="11"/>
    </row>
    <row r="14" spans="1:10" x14ac:dyDescent="0.25">
      <c r="A14" s="3"/>
      <c r="C14" s="9"/>
      <c r="D14" s="4"/>
      <c r="E14" s="4"/>
      <c r="F14" s="4"/>
      <c r="G14" s="4"/>
      <c r="H14" s="4"/>
      <c r="I14" s="4"/>
      <c r="J14" s="11"/>
    </row>
    <row r="15" spans="1:10" x14ac:dyDescent="0.25">
      <c r="A15" s="3"/>
      <c r="C15" s="9"/>
      <c r="D15" s="4"/>
      <c r="E15" s="4"/>
      <c r="F15" s="4"/>
      <c r="G15" s="4"/>
      <c r="H15" s="4"/>
      <c r="I15" s="4"/>
      <c r="J15" s="11"/>
    </row>
    <row r="16" spans="1:10" x14ac:dyDescent="0.25">
      <c r="A16" s="3"/>
      <c r="D16" s="4"/>
      <c r="E16" s="4"/>
      <c r="F16" s="4"/>
      <c r="G16" s="4"/>
      <c r="H16" s="1"/>
      <c r="I16" s="1"/>
      <c r="J16" s="11"/>
    </row>
    <row r="17" spans="1:10" x14ac:dyDescent="0.25">
      <c r="A17" s="3"/>
      <c r="D17" s="4"/>
      <c r="E17" s="4"/>
      <c r="F17" s="4"/>
      <c r="G17" s="4"/>
      <c r="H17" s="1"/>
      <c r="I17" s="1"/>
      <c r="J17" s="11"/>
    </row>
    <row r="18" spans="1:10" x14ac:dyDescent="0.25">
      <c r="A18" s="3"/>
      <c r="D18" s="4"/>
      <c r="E18" s="4"/>
      <c r="F18" s="4"/>
      <c r="G18" s="4"/>
      <c r="H18" s="1"/>
      <c r="I18" s="1"/>
      <c r="J18" s="11"/>
    </row>
    <row r="19" spans="1:10" x14ac:dyDescent="0.25">
      <c r="A19" s="3"/>
      <c r="D19" s="4"/>
      <c r="E19" s="4"/>
      <c r="F19" s="4"/>
      <c r="G19" s="4"/>
      <c r="H19" s="1"/>
      <c r="I19" s="1"/>
      <c r="J19" s="11"/>
    </row>
    <row r="20" spans="1:10" x14ac:dyDescent="0.25">
      <c r="A20" s="3"/>
      <c r="C20" s="9"/>
      <c r="D20" s="4"/>
      <c r="E20" s="4"/>
      <c r="F20" s="4"/>
      <c r="G20" s="4"/>
      <c r="H20" s="1"/>
      <c r="I20" s="1"/>
      <c r="J20" s="11"/>
    </row>
    <row r="21" spans="1:10" x14ac:dyDescent="0.25">
      <c r="A21" s="3"/>
      <c r="C21" s="9"/>
      <c r="D21" s="4"/>
      <c r="E21" s="4"/>
      <c r="F21" s="4"/>
      <c r="G21" s="4"/>
      <c r="H21" s="1"/>
      <c r="I21" s="1"/>
      <c r="J21" s="11"/>
    </row>
    <row r="22" spans="1:10" x14ac:dyDescent="0.25">
      <c r="A22" s="3"/>
      <c r="C22" s="9"/>
      <c r="D22" s="4"/>
      <c r="E22" s="4"/>
      <c r="F22" s="4"/>
      <c r="G22" s="4"/>
      <c r="H22" s="1"/>
      <c r="I22" s="1"/>
      <c r="J22" s="11"/>
    </row>
    <row r="23" spans="1:10" x14ac:dyDescent="0.25">
      <c r="A23" s="3"/>
      <c r="C23" s="9"/>
      <c r="D23" s="4"/>
      <c r="E23" s="4"/>
      <c r="F23" s="4"/>
      <c r="G23" s="4"/>
      <c r="H23" s="1"/>
      <c r="I23" s="1"/>
      <c r="J23" s="11"/>
    </row>
    <row r="24" spans="1:10" x14ac:dyDescent="0.25">
      <c r="A24" s="3"/>
      <c r="C24" s="9"/>
      <c r="D24" s="4"/>
      <c r="E24" s="4"/>
      <c r="F24" s="4"/>
      <c r="G24" s="4"/>
      <c r="H24" s="1"/>
      <c r="I24" s="1"/>
      <c r="J24" s="11"/>
    </row>
    <row r="25" spans="1:10" x14ac:dyDescent="0.25">
      <c r="A25" s="3"/>
      <c r="D25" s="4"/>
      <c r="E25" s="4"/>
      <c r="F25" s="4"/>
      <c r="G25" s="4"/>
      <c r="H25" s="1"/>
      <c r="I25" s="1"/>
      <c r="J25" s="11"/>
    </row>
    <row r="26" spans="1:10" x14ac:dyDescent="0.25">
      <c r="A26" s="3"/>
      <c r="D26" s="4"/>
      <c r="E26" s="4"/>
      <c r="F26" s="4"/>
      <c r="G26" s="4"/>
      <c r="H26" s="1"/>
      <c r="I26" s="1"/>
      <c r="J26" s="11"/>
    </row>
    <row r="27" spans="1:10" x14ac:dyDescent="0.25">
      <c r="A27" s="3"/>
      <c r="D27" s="4"/>
      <c r="E27" s="4"/>
      <c r="F27" s="4"/>
      <c r="G27" s="4"/>
      <c r="H27" s="1"/>
      <c r="I27" s="1"/>
      <c r="J27" s="11"/>
    </row>
    <row r="28" spans="1:10" x14ac:dyDescent="0.25">
      <c r="D28" s="4"/>
      <c r="E28" s="4"/>
      <c r="F28" s="4"/>
      <c r="G28" s="4"/>
      <c r="H28" s="2"/>
      <c r="I28" s="2"/>
      <c r="J28" s="2"/>
    </row>
    <row r="29" spans="1:10" x14ac:dyDescent="0.25">
      <c r="D29" s="2"/>
      <c r="E29" s="2"/>
      <c r="F29" s="2"/>
      <c r="G29" s="2"/>
      <c r="H29" s="2"/>
      <c r="I29" s="2"/>
      <c r="J29" s="2"/>
    </row>
    <row r="30" spans="1:10" x14ac:dyDescent="0.25">
      <c r="D30" s="2"/>
      <c r="E30" s="2"/>
      <c r="F30" s="2"/>
      <c r="G30" s="2"/>
      <c r="H30" s="2"/>
      <c r="I30" s="2"/>
      <c r="J30" s="2"/>
    </row>
    <row r="31" spans="1:10" x14ac:dyDescent="0.25">
      <c r="D31" s="2"/>
      <c r="E31" s="2"/>
      <c r="F31" s="2"/>
      <c r="G31" s="2"/>
      <c r="H31" s="2"/>
      <c r="I31" s="2"/>
      <c r="J31" s="2"/>
    </row>
    <row r="32" spans="1:10" x14ac:dyDescent="0.25">
      <c r="D32" s="2"/>
      <c r="E32" s="2"/>
      <c r="F32" s="2"/>
      <c r="G32" s="2"/>
      <c r="H32" s="2"/>
      <c r="I32" s="2"/>
      <c r="J32" s="2"/>
    </row>
    <row r="33" spans="4:10" x14ac:dyDescent="0.25">
      <c r="D33" s="2"/>
      <c r="E33" s="2"/>
      <c r="F33" s="2"/>
      <c r="G33" s="2"/>
      <c r="H33" s="2"/>
      <c r="I33" s="2"/>
      <c r="J33" s="2"/>
    </row>
  </sheetData>
  <pageMargins left="0.7" right="0.7" top="0.75" bottom="0.75" header="0.3" footer="0.3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2836A8B96834BB997CC806300AEED" ma:contentTypeVersion="13" ma:contentTypeDescription="Create a new document." ma:contentTypeScope="" ma:versionID="bcaff4a7c9156208dc5d409ec19a28a2">
  <xsd:schema xmlns:xsd="http://www.w3.org/2001/XMLSchema" xmlns:xs="http://www.w3.org/2001/XMLSchema" xmlns:p="http://schemas.microsoft.com/office/2006/metadata/properties" xmlns:ns3="df7b87fe-a133-4a2d-a29f-017ca57d9165" xmlns:ns4="fb62501a-3dd6-4b25-b973-d31d7ae4feff" targetNamespace="http://schemas.microsoft.com/office/2006/metadata/properties" ma:root="true" ma:fieldsID="1df28aa799ef1c0f0ca465db81a67da2" ns3:_="" ns4:_="">
    <xsd:import namespace="df7b87fe-a133-4a2d-a29f-017ca57d9165"/>
    <xsd:import namespace="fb62501a-3dd6-4b25-b973-d31d7ae4fe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b87fe-a133-4a2d-a29f-017ca57d91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2501a-3dd6-4b25-b973-d31d7ae4f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71CEC-3FC2-4F54-854E-6FB5C480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7b87fe-a133-4a2d-a29f-017ca57d9165"/>
    <ds:schemaRef ds:uri="fb62501a-3dd6-4b25-b973-d31d7ae4f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9E339-66E3-4D59-A0F6-DDED63A534DD}">
  <ds:schemaRefs>
    <ds:schemaRef ds:uri="http://schemas.microsoft.com/office/2006/documentManagement/types"/>
    <ds:schemaRef ds:uri="http://purl.org/dc/elements/1.1/"/>
    <ds:schemaRef ds:uri="fb62501a-3dd6-4b25-b973-d31d7ae4feff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f7b87fe-a133-4a2d-a29f-017ca57d9165"/>
  </ds:schemaRefs>
</ds:datastoreItem>
</file>

<file path=customXml/itemProps3.xml><?xml version="1.0" encoding="utf-8"?>
<ds:datastoreItem xmlns:ds="http://schemas.openxmlformats.org/officeDocument/2006/customXml" ds:itemID="{BB346BB9-93A1-40BC-8C60-105BE0208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00 Summary</vt:lpstr>
      <vt:lpstr>01 Income and Expenses</vt:lpstr>
      <vt:lpstr>02 Bank</vt:lpstr>
      <vt:lpstr>03 Petty Cash</vt:lpstr>
      <vt:lpstr>04 Uncleared Cheques</vt:lpstr>
      <vt:lpstr>05 Cash In Transit</vt:lpstr>
      <vt:lpstr>'00 Summary'!Print_Area</vt:lpstr>
      <vt:lpstr>'02 Bank'!Print_Area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Wood</dc:creator>
  <cp:lastModifiedBy>lisa finkill</cp:lastModifiedBy>
  <cp:lastPrinted>2020-09-20T18:56:34Z</cp:lastPrinted>
  <dcterms:created xsi:type="dcterms:W3CDTF">2020-02-19T15:34:28Z</dcterms:created>
  <dcterms:modified xsi:type="dcterms:W3CDTF">2022-01-11T21:32:12Z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0x0101005DA2836A8B96834BB997CC806300AEED</vt:lpwstr>
  </property>
</Properties>
</file>